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Z:\DepartmentShare\IT_Dept\SHCH REPORT\11-Report 2022\hmc\"/>
    </mc:Choice>
  </mc:AlternateContent>
  <xr:revisionPtr revIDLastSave="0" documentId="13_ncr:1_{56EEF575-0C1E-42D4-BDE0-263D40DD99AF}" xr6:coauthVersionLast="47" xr6:coauthVersionMax="47" xr10:uidLastSave="{00000000-0000-0000-0000-000000000000}"/>
  <bookViews>
    <workbookView xWindow="-105" yWindow="0" windowWidth="35205" windowHeight="23385" activeTab="1" xr2:uid="{00000000-000D-0000-FFFF-FFFF00000000}"/>
  </bookViews>
  <sheets>
    <sheet name="MCC" sheetId="1" r:id="rId1"/>
    <sheet name="CHFC" sheetId="2" r:id="rId2"/>
    <sheet name="MPC" sheetId="3" r:id="rId3"/>
    <sheet name="Endoscopy" sheetId="4" r:id="rId4"/>
    <sheet name="EndoscopyHistory" sheetId="6" r:id="rId5"/>
  </sheets>
  <externalReferences>
    <externalReference r:id="rId6"/>
    <externalReference r:id="rId7"/>
    <externalReference r:id="rId8"/>
  </externalReferences>
  <definedNames>
    <definedName name="_xlnm._FilterDatabase" localSheetId="1" hidden="1">CHFC!$B$47:$O$191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2" l="1"/>
  <c r="P15" i="2"/>
  <c r="V16" i="2"/>
  <c r="V17" i="2"/>
  <c r="V15" i="2"/>
  <c r="O26" i="1"/>
  <c r="O22" i="3"/>
  <c r="P8" i="2"/>
  <c r="O78" i="6"/>
  <c r="N78" i="6"/>
  <c r="M78" i="6"/>
  <c r="L78" i="6"/>
  <c r="K78" i="6"/>
  <c r="J78" i="6"/>
  <c r="I78" i="6"/>
  <c r="H78" i="6"/>
  <c r="G78" i="6"/>
  <c r="F78" i="6"/>
  <c r="E78" i="6"/>
  <c r="D78" i="6"/>
  <c r="O14" i="4" l="1"/>
  <c r="O13" i="2"/>
  <c r="O12" i="2"/>
  <c r="O11" i="2"/>
  <c r="O10" i="2"/>
  <c r="O9" i="2"/>
  <c r="O59" i="6" l="1"/>
  <c r="N59" i="6"/>
  <c r="M59" i="6"/>
  <c r="L59" i="6"/>
  <c r="K59" i="6"/>
  <c r="J59" i="6"/>
  <c r="I59" i="6"/>
  <c r="H59" i="6"/>
  <c r="G59" i="6"/>
  <c r="F59" i="6"/>
  <c r="E59" i="6"/>
  <c r="D59" i="6"/>
  <c r="O49" i="6"/>
  <c r="N49" i="6"/>
  <c r="M49" i="6"/>
  <c r="L49" i="6"/>
  <c r="K49" i="6"/>
  <c r="J49" i="6"/>
  <c r="I49" i="6"/>
  <c r="H49" i="6"/>
  <c r="G49" i="6"/>
  <c r="F49" i="6"/>
  <c r="D49" i="6"/>
  <c r="O39" i="6"/>
  <c r="O93" i="6" s="1"/>
  <c r="N39" i="6"/>
  <c r="N93" i="6" s="1"/>
  <c r="M39" i="6"/>
  <c r="M93" i="6" s="1"/>
  <c r="L39" i="6"/>
  <c r="L93" i="6" s="1"/>
  <c r="K39" i="6"/>
  <c r="K93" i="6" s="1"/>
  <c r="J39" i="6"/>
  <c r="J93" i="6" s="1"/>
  <c r="I39" i="6"/>
  <c r="I93" i="6" s="1"/>
  <c r="H39" i="6"/>
  <c r="H93" i="6" s="1"/>
  <c r="G39" i="6"/>
  <c r="G93" i="6" s="1"/>
  <c r="E39" i="6"/>
  <c r="E93" i="6" s="1"/>
  <c r="D39" i="6"/>
  <c r="D93" i="6" s="1"/>
  <c r="F38" i="6"/>
  <c r="F37" i="6"/>
  <c r="F36" i="6"/>
  <c r="F34" i="6"/>
  <c r="F33" i="6"/>
  <c r="F32" i="6"/>
  <c r="O27" i="6"/>
  <c r="N27" i="6"/>
  <c r="N29" i="6" s="1"/>
  <c r="N92" i="6" s="1"/>
  <c r="N94" i="6" s="1"/>
  <c r="M27" i="6"/>
  <c r="L27" i="6"/>
  <c r="K27" i="6"/>
  <c r="K29" i="6" s="1"/>
  <c r="K92" i="6" s="1"/>
  <c r="K94" i="6" s="1"/>
  <c r="J27" i="6"/>
  <c r="I27" i="6"/>
  <c r="H27" i="6"/>
  <c r="G27" i="6"/>
  <c r="F27" i="6"/>
  <c r="E27" i="6"/>
  <c r="D27" i="6"/>
  <c r="O26" i="6"/>
  <c r="M26" i="6"/>
  <c r="L26" i="6"/>
  <c r="J26" i="6"/>
  <c r="I26" i="6"/>
  <c r="H26" i="6"/>
  <c r="G26" i="6"/>
  <c r="F26" i="6"/>
  <c r="E26" i="6"/>
  <c r="D26" i="6"/>
  <c r="O21" i="6"/>
  <c r="O23" i="6" s="1"/>
  <c r="O91" i="6" s="1"/>
  <c r="N21" i="6"/>
  <c r="N23" i="6" s="1"/>
  <c r="N91" i="6" s="1"/>
  <c r="M21" i="6"/>
  <c r="L21" i="6"/>
  <c r="K21" i="6"/>
  <c r="J21" i="6"/>
  <c r="I21" i="6"/>
  <c r="I23" i="6" s="1"/>
  <c r="I91" i="6" s="1"/>
  <c r="H21" i="6"/>
  <c r="G21" i="6"/>
  <c r="E21" i="6"/>
  <c r="D21" i="6"/>
  <c r="M20" i="6"/>
  <c r="L20" i="6"/>
  <c r="L23" i="6" s="1"/>
  <c r="L91" i="6" s="1"/>
  <c r="K20" i="6"/>
  <c r="J20" i="6"/>
  <c r="H20" i="6"/>
  <c r="G20" i="6"/>
  <c r="F20" i="6"/>
  <c r="F23" i="6" s="1"/>
  <c r="F91" i="6" s="1"/>
  <c r="E20" i="6"/>
  <c r="D20" i="6"/>
  <c r="I17" i="6"/>
  <c r="I90" i="6" s="1"/>
  <c r="G17" i="6"/>
  <c r="G90" i="6" s="1"/>
  <c r="K16" i="6"/>
  <c r="O15" i="6"/>
  <c r="N15" i="6"/>
  <c r="M15" i="6"/>
  <c r="L15" i="6"/>
  <c r="K15" i="6"/>
  <c r="E15" i="6"/>
  <c r="O14" i="6"/>
  <c r="N14" i="6"/>
  <c r="M14" i="6"/>
  <c r="L14" i="6"/>
  <c r="L17" i="6" s="1"/>
  <c r="L90" i="6" s="1"/>
  <c r="K14" i="6"/>
  <c r="J14" i="6"/>
  <c r="J17" i="6" s="1"/>
  <c r="J90" i="6" s="1"/>
  <c r="H14" i="6"/>
  <c r="H17" i="6" s="1"/>
  <c r="H90" i="6" s="1"/>
  <c r="F14" i="6"/>
  <c r="F17" i="6" s="1"/>
  <c r="F90" i="6" s="1"/>
  <c r="E14" i="6"/>
  <c r="E17" i="6" s="1"/>
  <c r="E90" i="6" s="1"/>
  <c r="D14" i="6"/>
  <c r="D17" i="6" s="1"/>
  <c r="D90" i="6" s="1"/>
  <c r="H11" i="6"/>
  <c r="H89" i="6" s="1"/>
  <c r="F11" i="6"/>
  <c r="F89" i="6" s="1"/>
  <c r="D11" i="6"/>
  <c r="D89" i="6" s="1"/>
  <c r="M9" i="6"/>
  <c r="I9" i="6"/>
  <c r="G9" i="6"/>
  <c r="G11" i="6" s="1"/>
  <c r="G89" i="6" s="1"/>
  <c r="O8" i="6"/>
  <c r="O11" i="6" s="1"/>
  <c r="O89" i="6" s="1"/>
  <c r="N8" i="6"/>
  <c r="N11" i="6" s="1"/>
  <c r="N89" i="6" s="1"/>
  <c r="M8" i="6"/>
  <c r="L8" i="6"/>
  <c r="L11" i="6" s="1"/>
  <c r="L89" i="6" s="1"/>
  <c r="K8" i="6"/>
  <c r="K11" i="6" s="1"/>
  <c r="K89" i="6" s="1"/>
  <c r="J8" i="6"/>
  <c r="J11" i="6" s="1"/>
  <c r="J89" i="6" s="1"/>
  <c r="I8" i="6"/>
  <c r="E8" i="6"/>
  <c r="E11" i="6" s="1"/>
  <c r="E89" i="6" s="1"/>
  <c r="L5" i="6"/>
  <c r="L88" i="6" s="1"/>
  <c r="J5" i="6"/>
  <c r="J88" i="6" s="1"/>
  <c r="H5" i="6"/>
  <c r="H88" i="6" s="1"/>
  <c r="G5" i="6"/>
  <c r="G88" i="6" s="1"/>
  <c r="O3" i="6"/>
  <c r="N3" i="6"/>
  <c r="N5" i="6" s="1"/>
  <c r="N88" i="6" s="1"/>
  <c r="K3" i="6"/>
  <c r="I3" i="6"/>
  <c r="I5" i="6" s="1"/>
  <c r="I88" i="6" s="1"/>
  <c r="F3" i="6"/>
  <c r="O2" i="6"/>
  <c r="M2" i="6"/>
  <c r="M5" i="6" s="1"/>
  <c r="M88" i="6" s="1"/>
  <c r="K2" i="6"/>
  <c r="F2" i="6"/>
  <c r="E2" i="6"/>
  <c r="E5" i="6" s="1"/>
  <c r="E88" i="6" s="1"/>
  <c r="D2" i="6"/>
  <c r="D5" i="6" s="1"/>
  <c r="D88" i="6" s="1"/>
  <c r="I11" i="6" l="1"/>
  <c r="I89" i="6" s="1"/>
  <c r="O5" i="6"/>
  <c r="O88" i="6" s="1"/>
  <c r="H23" i="6"/>
  <c r="H91" i="6" s="1"/>
  <c r="G23" i="6"/>
  <c r="G91" i="6" s="1"/>
  <c r="L29" i="6"/>
  <c r="L92" i="6" s="1"/>
  <c r="L94" i="6" s="1"/>
  <c r="J29" i="6"/>
  <c r="J92" i="6" s="1"/>
  <c r="J94" i="6" s="1"/>
  <c r="D29" i="6"/>
  <c r="D92" i="6" s="1"/>
  <c r="D94" i="6" s="1"/>
  <c r="M29" i="6"/>
  <c r="M92" i="6" s="1"/>
  <c r="M94" i="6" s="1"/>
  <c r="D23" i="6"/>
  <c r="D91" i="6" s="1"/>
  <c r="H29" i="6"/>
  <c r="H92" i="6" s="1"/>
  <c r="H94" i="6" s="1"/>
  <c r="K5" i="6"/>
  <c r="K88" i="6" s="1"/>
  <c r="I29" i="6"/>
  <c r="I92" i="6" s="1"/>
  <c r="I94" i="6" s="1"/>
  <c r="F5" i="6"/>
  <c r="F88" i="6" s="1"/>
  <c r="N17" i="6"/>
  <c r="N90" i="6" s="1"/>
  <c r="K17" i="6"/>
  <c r="K90" i="6" s="1"/>
  <c r="O17" i="6"/>
  <c r="O90" i="6" s="1"/>
  <c r="J23" i="6"/>
  <c r="J91" i="6" s="1"/>
  <c r="K23" i="6"/>
  <c r="K91" i="6" s="1"/>
  <c r="F29" i="6"/>
  <c r="F92" i="6" s="1"/>
  <c r="F94" i="6" s="1"/>
  <c r="M23" i="6"/>
  <c r="M91" i="6" s="1"/>
  <c r="G29" i="6"/>
  <c r="G92" i="6" s="1"/>
  <c r="G94" i="6" s="1"/>
  <c r="E29" i="6"/>
  <c r="E92" i="6" s="1"/>
  <c r="E94" i="6" s="1"/>
  <c r="F39" i="6"/>
  <c r="F93" i="6" s="1"/>
  <c r="M11" i="6"/>
  <c r="M89" i="6" s="1"/>
  <c r="M17" i="6"/>
  <c r="M90" i="6" s="1"/>
  <c r="E23" i="6"/>
  <c r="E91" i="6" s="1"/>
  <c r="O29" i="6"/>
  <c r="O92" i="6" s="1"/>
  <c r="O94" i="6" s="1"/>
  <c r="N14" i="4"/>
  <c r="M14" i="4"/>
  <c r="L14" i="4"/>
  <c r="K14" i="4"/>
  <c r="J14" i="4"/>
  <c r="I14" i="4"/>
  <c r="H14" i="4"/>
  <c r="G14" i="4"/>
  <c r="F14" i="4"/>
  <c r="E14" i="4"/>
  <c r="D14" i="4"/>
  <c r="D191" i="2" l="1"/>
  <c r="E191" i="2"/>
  <c r="F191" i="2"/>
  <c r="G191" i="2"/>
  <c r="H191" i="2"/>
  <c r="I191" i="2"/>
  <c r="J191" i="2"/>
  <c r="K191" i="2"/>
  <c r="O22" i="2" l="1"/>
  <c r="O33" i="2" l="1"/>
  <c r="O32" i="2"/>
  <c r="C191" i="2" l="1"/>
  <c r="O25" i="1" l="1"/>
  <c r="O9" i="3" l="1"/>
  <c r="O10" i="3"/>
  <c r="O11" i="3"/>
  <c r="O12" i="3"/>
  <c r="O13" i="3"/>
  <c r="O14" i="3"/>
  <c r="O15" i="3"/>
  <c r="O16" i="3"/>
  <c r="O17" i="3"/>
  <c r="O18" i="3"/>
  <c r="O19" i="3"/>
  <c r="O20" i="3"/>
  <c r="O21" i="3"/>
  <c r="O8" i="3"/>
  <c r="O31" i="2" l="1"/>
  <c r="O21" i="2" l="1"/>
  <c r="O30" i="2" l="1"/>
  <c r="O25" i="2" l="1"/>
  <c r="O26" i="2"/>
  <c r="O27" i="2"/>
  <c r="O28" i="2"/>
  <c r="O29" i="2"/>
  <c r="O191" i="2" l="1"/>
  <c r="N191" i="2"/>
  <c r="M191" i="2"/>
  <c r="L191" i="2"/>
  <c r="N45" i="2"/>
  <c r="M45" i="2"/>
  <c r="L45" i="2"/>
  <c r="K45" i="2"/>
  <c r="J45" i="2"/>
  <c r="I45" i="2"/>
  <c r="H45" i="2"/>
  <c r="G45" i="2"/>
  <c r="F45" i="2"/>
  <c r="E45" i="2"/>
  <c r="D45" i="2"/>
  <c r="C45" i="2"/>
  <c r="O24" i="2"/>
  <c r="P24" i="2" s="1"/>
  <c r="O23" i="2"/>
  <c r="P23" i="2" s="1"/>
  <c r="O20" i="2"/>
  <c r="O19" i="2"/>
  <c r="P19" i="2" s="1"/>
  <c r="O18" i="2"/>
  <c r="P18" i="2" s="1"/>
  <c r="O17" i="2"/>
  <c r="P17" i="2" s="1"/>
  <c r="O16" i="2"/>
  <c r="P16" i="2" s="1"/>
  <c r="P14" i="2"/>
  <c r="P13" i="2"/>
  <c r="P12" i="2"/>
  <c r="P11" i="2"/>
  <c r="P10" i="2"/>
  <c r="P9" i="2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Sophea Heak</author>
  </authors>
  <commentList>
    <comment ref="B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Sophea Heak:</t>
        </r>
        <r>
          <rPr>
            <sz val="9"/>
            <color indexed="81"/>
            <rFont val="Tahoma"/>
            <family val="2"/>
          </rPr>
          <t xml:space="preserve">
From PoS CMC:
Payment
Report
By Service Type : Endoscopy Suite
Count service by type
Change date and excel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Sophea Heak</author>
  </authors>
  <commentList>
    <comment ref="B3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Sophea Heak:</t>
        </r>
        <r>
          <rPr>
            <sz val="9"/>
            <color indexed="81"/>
            <rFont val="Tahoma"/>
            <family val="2"/>
          </rPr>
          <t xml:space="preserve">
From PoS CMC:
Payment
Report
By Service Type : Endoscopy Suite
Count service by type
Change date and excel</t>
        </r>
      </text>
    </comment>
    <comment ref="B4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Sophea Heak:</t>
        </r>
        <r>
          <rPr>
            <sz val="9"/>
            <color indexed="81"/>
            <rFont val="Tahoma"/>
            <family val="2"/>
          </rPr>
          <t xml:space="preserve">
From PoS CMC:
Payment
Report
By Service Type : Endoscopy Suite
Count service by type
Change date and excel</t>
        </r>
      </text>
    </comment>
    <comment ref="B52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Sophea Heak:</t>
        </r>
        <r>
          <rPr>
            <sz val="9"/>
            <color indexed="81"/>
            <rFont val="Tahoma"/>
            <family val="2"/>
          </rPr>
          <t xml:space="preserve">
From PoS CMC:
Payment
Report
By Service Type : Endoscopy Suite
Count service by type
Change date and excel</t>
        </r>
      </text>
    </comment>
    <comment ref="B71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Sophea Heak:</t>
        </r>
        <r>
          <rPr>
            <sz val="9"/>
            <color indexed="81"/>
            <rFont val="Tahoma"/>
            <family val="2"/>
          </rPr>
          <t xml:space="preserve">
From PoS CMC:
Payment
Report
By Service Type : Endoscopy Suite
Count service by type
Change date and excel</t>
        </r>
      </text>
    </comment>
  </commentList>
</comments>
</file>

<file path=xl/sharedStrings.xml><?xml version="1.0" encoding="utf-8"?>
<sst xmlns="http://schemas.openxmlformats.org/spreadsheetml/2006/main" count="557" uniqueCount="233">
  <si>
    <t>No</t>
  </si>
  <si>
    <t>Data Type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</si>
  <si>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</si>
  <si>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</si>
  <si>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</si>
  <si>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</si>
  <si>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</si>
  <si>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</si>
  <si>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</si>
  <si>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</si>
  <si>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</si>
  <si>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</si>
  <si>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</si>
  <si>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</si>
  <si>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TOTAL</t>
  </si>
  <si>
    <t>Lab tests</t>
  </si>
  <si>
    <t>Admission</t>
  </si>
  <si>
    <t>Patients Day</t>
  </si>
  <si>
    <t>Average Length of Stay</t>
  </si>
  <si>
    <t>Pharmacy Script</t>
  </si>
  <si>
    <t>Surgical Cases</t>
  </si>
  <si>
    <t>Radiology Exams</t>
  </si>
  <si>
    <t>X-Ray</t>
  </si>
  <si>
    <t>CT-Scan</t>
  </si>
  <si>
    <t>Ultrasound</t>
  </si>
  <si>
    <t>Adult Clinic Patient visits</t>
  </si>
  <si>
    <t>Pediatric Clinic visit</t>
  </si>
  <si>
    <t>ENT Clinic visit</t>
  </si>
  <si>
    <t>Women's Health clinic visits</t>
  </si>
  <si>
    <t>Out patient Clinic Volumn</t>
  </si>
  <si>
    <t>Human Resource</t>
  </si>
  <si>
    <t>New Patient by location</t>
  </si>
  <si>
    <t>Mammography Service</t>
  </si>
  <si>
    <t>Patient visits</t>
  </si>
  <si>
    <t>Pediatric patient</t>
  </si>
  <si>
    <t>CSC</t>
  </si>
  <si>
    <t>CRC</t>
  </si>
  <si>
    <t>Category Name</t>
  </si>
  <si>
    <t>CT Scan</t>
  </si>
  <si>
    <t>Endoscopy Suite</t>
  </si>
  <si>
    <t>Mammography Ser</t>
  </si>
  <si>
    <t>Total</t>
  </si>
  <si>
    <t>Service Referal Commission from 1-Jan-2018 to 31-Jan-2018 (Group by Commissioner)</t>
  </si>
  <si>
    <t>COMMISSIONER_NAME</t>
  </si>
  <si>
    <t>Bou Sopheap</t>
  </si>
  <si>
    <t>Ty Sopheab</t>
  </si>
  <si>
    <t>Gnan Channoeun</t>
  </si>
  <si>
    <t>Pov Sinny</t>
  </si>
  <si>
    <t>Dr Reth</t>
  </si>
  <si>
    <t>Dr. Frank Duggan</t>
  </si>
  <si>
    <t>Loch Phearum</t>
  </si>
  <si>
    <t>Dr Des Vantha</t>
  </si>
  <si>
    <t>D.N Polyclinic</t>
  </si>
  <si>
    <t>Dr.Thuynh Thi Phuong Lan</t>
  </si>
  <si>
    <t>Clinic 4S</t>
  </si>
  <si>
    <t>Dr. Chea Vannarith</t>
  </si>
  <si>
    <t>Dr. Claire Uebbing</t>
  </si>
  <si>
    <t>Dr. Kea Sok Leng</t>
  </si>
  <si>
    <t>Dr. Kith Seab</t>
  </si>
  <si>
    <t>Dr. Khov Mong</t>
  </si>
  <si>
    <t>Dr. Nhep Chhuna</t>
  </si>
  <si>
    <t>Dr. Non Tisophen</t>
  </si>
  <si>
    <t>Dr. Sim Sok Chan</t>
  </si>
  <si>
    <t>Dr. Tek Chan Serey</t>
  </si>
  <si>
    <t>Dr. Thaihoa Weygand</t>
  </si>
  <si>
    <t>Dr. Tord Sochat</t>
  </si>
  <si>
    <t>Dr. Uk Pisey</t>
  </si>
  <si>
    <t>Dr.Bou Sopheap</t>
  </si>
  <si>
    <t>Dr.Nov Kimsan</t>
  </si>
  <si>
    <t>Dr.Pagna</t>
  </si>
  <si>
    <t>Dr. Pisay</t>
  </si>
  <si>
    <t>Dr.Sao Sira</t>
  </si>
  <si>
    <t>Dr. Soeurn Sereysopagna</t>
  </si>
  <si>
    <t>Dr.Sar Panha</t>
  </si>
  <si>
    <t>Dr.Sok Tino</t>
  </si>
  <si>
    <t>Dr.Song Bun Than</t>
  </si>
  <si>
    <t>Dr.Sopheak</t>
  </si>
  <si>
    <t>Dr.Tola</t>
  </si>
  <si>
    <t>Hok Tola</t>
  </si>
  <si>
    <t>Hem Thorn</t>
  </si>
  <si>
    <t>Khema</t>
  </si>
  <si>
    <t>Outside Commissioner</t>
  </si>
  <si>
    <t>Sik Thireak</t>
  </si>
  <si>
    <t>Dr. kap Vannak</t>
  </si>
  <si>
    <t>Dr. Maly</t>
  </si>
  <si>
    <t>Dr. Sim Thida</t>
  </si>
  <si>
    <t>Dr. Sophal</t>
  </si>
  <si>
    <t>Dr. Soryon</t>
  </si>
  <si>
    <t>Dr.Heng Siek Leng</t>
  </si>
  <si>
    <t>Dr.Meas Leng</t>
  </si>
  <si>
    <t>Dr.Mony</t>
  </si>
  <si>
    <t>Dr.Prum Vises</t>
  </si>
  <si>
    <t>Dr.Say Somdy</t>
  </si>
  <si>
    <t>Dr.Sopheap</t>
  </si>
  <si>
    <t>Dr.Sras Kanitha</t>
  </si>
  <si>
    <t>In Sarath</t>
  </si>
  <si>
    <t>Leng Lina</t>
  </si>
  <si>
    <t>Ma Sarorn</t>
  </si>
  <si>
    <t>Hout  Hour</t>
  </si>
  <si>
    <t>CSI</t>
  </si>
  <si>
    <t>Vathana</t>
  </si>
  <si>
    <t>Chen Sao Ly</t>
  </si>
  <si>
    <t>Dr. Moa Aun</t>
  </si>
  <si>
    <t>Dr. Truy Pich</t>
  </si>
  <si>
    <t>Dr.Sin Tour Phot</t>
  </si>
  <si>
    <t>Dr.Sour Se</t>
  </si>
  <si>
    <t>Dr.Yeng Sokha</t>
  </si>
  <si>
    <t>Uch Somary</t>
  </si>
  <si>
    <t>Phann Sitha</t>
  </si>
  <si>
    <t>Dr.Chea Chandy</t>
  </si>
  <si>
    <t>Dr. Konitha</t>
  </si>
  <si>
    <t>Dr. Or Vathanak</t>
  </si>
  <si>
    <t>Dr. Somaly</t>
  </si>
  <si>
    <t>Dr.Huynh Chi Phuong Lan</t>
  </si>
  <si>
    <t>Dr.Khemry</t>
  </si>
  <si>
    <t>Nhem Neth</t>
  </si>
  <si>
    <t>Prum Satya</t>
  </si>
  <si>
    <t>Simthida</t>
  </si>
  <si>
    <t>Dr. Ry Sina</t>
  </si>
  <si>
    <t>Dr. Sam oul</t>
  </si>
  <si>
    <t>Dr. Men Sam Oul</t>
  </si>
  <si>
    <t>Dr. Oeng Sandy</t>
  </si>
  <si>
    <t>Dr. Emmett Goitre</t>
  </si>
  <si>
    <t>Dr. Emmett Mcguire</t>
  </si>
  <si>
    <t>Dr Hay</t>
  </si>
  <si>
    <t>Dr. An Sokkab</t>
  </si>
  <si>
    <t>Dr. Keath Huy</t>
  </si>
  <si>
    <t>Dr. Ho Kimheang</t>
  </si>
  <si>
    <t xml:space="preserve">Dr. Kong Piseth </t>
  </si>
  <si>
    <t>Dr. Kou Kim Heak</t>
  </si>
  <si>
    <t>Dr. Minear (Clinic Teng Seun)</t>
  </si>
  <si>
    <t>Dr. Sa Em Thavary</t>
  </si>
  <si>
    <t>Dr. Rithy</t>
  </si>
  <si>
    <t>Dr.Pen Sam Kol</t>
  </si>
  <si>
    <t>Nou Tisophea</t>
  </si>
  <si>
    <t>Dr.Tan Narith</t>
  </si>
  <si>
    <t>Dr Pen Samnal</t>
  </si>
  <si>
    <t>Dr.Mean Sitha</t>
  </si>
  <si>
    <t>Dr.Sim Kong</t>
  </si>
  <si>
    <t>Dr.Sok Samnang</t>
  </si>
  <si>
    <t>Huoth chansrmaly</t>
  </si>
  <si>
    <t>Oum Sovanaroth</t>
  </si>
  <si>
    <t>Sok Sonimol</t>
  </si>
  <si>
    <t>Teap Kim heang</t>
  </si>
  <si>
    <t>Chetra Clinic</t>
  </si>
  <si>
    <t>Dr kresna</t>
  </si>
  <si>
    <t>Dr. Keo Vansocheat</t>
  </si>
  <si>
    <t>Dr. Seng Sarak</t>
  </si>
  <si>
    <t>Dr. Tieng Vantha</t>
  </si>
  <si>
    <t>Dr.Khov Mong</t>
  </si>
  <si>
    <t>Dr.rossothavrith</t>
  </si>
  <si>
    <t>Keo Bony</t>
  </si>
  <si>
    <t>Dr Kang Own</t>
  </si>
  <si>
    <t>Dr.Choun Kimcheng</t>
  </si>
  <si>
    <t>Kiv Sothea</t>
  </si>
  <si>
    <t>Pang Sopheak</t>
  </si>
  <si>
    <t>Pith Samphor</t>
  </si>
  <si>
    <t>Dr. Pov Map</t>
  </si>
  <si>
    <t>Dr. Sokhey</t>
  </si>
  <si>
    <t>Nim Sithat</t>
  </si>
  <si>
    <t>Dr. Smithidavy</t>
  </si>
  <si>
    <t>Sor Phana</t>
  </si>
  <si>
    <t>Soy Sokhoeun</t>
  </si>
  <si>
    <t>Van Socheat</t>
  </si>
  <si>
    <t>Dr. Khek yaden</t>
  </si>
  <si>
    <t>Dr. Kouy Somnang</t>
  </si>
  <si>
    <t>Dr. Narun</t>
  </si>
  <si>
    <t>Dr. Phak</t>
  </si>
  <si>
    <t>Dr. Rin</t>
  </si>
  <si>
    <t>sary</t>
  </si>
  <si>
    <t>Ru Silvath</t>
  </si>
  <si>
    <t>Dr. Thao Titya</t>
  </si>
  <si>
    <t>Dr. Noutpheab</t>
  </si>
  <si>
    <t>Dr. Touch Socheat</t>
  </si>
  <si>
    <t>Dr. Sor Wathana</t>
  </si>
  <si>
    <t>Thou Sophany</t>
  </si>
  <si>
    <t>Oum Vanny</t>
  </si>
  <si>
    <t>Pov Siny</t>
  </si>
  <si>
    <t>Dr. Des Vantha</t>
  </si>
  <si>
    <t>Dr. Turobova Tatiana</t>
  </si>
  <si>
    <t>Kea Rathana</t>
  </si>
  <si>
    <t>Tong Makara</t>
  </si>
  <si>
    <t>Graph of Patient visits of CMC- From Jan to December 2015</t>
  </si>
  <si>
    <t>CMC-ED</t>
  </si>
  <si>
    <t>CMC-Endocrinology</t>
  </si>
  <si>
    <t>CMC-IPD</t>
  </si>
  <si>
    <t>CMC-OPD</t>
  </si>
  <si>
    <t xml:space="preserve">2018 Budget </t>
  </si>
  <si>
    <t>Jul</t>
  </si>
  <si>
    <t>Jun</t>
  </si>
  <si>
    <t xml:space="preserve">Sub Total: </t>
  </si>
  <si>
    <t>Rectoscopy</t>
  </si>
  <si>
    <t>Sigmoidoscopy under sedation and biopsy</t>
  </si>
  <si>
    <t>Colonoscopy under sedation and biopsy</t>
  </si>
  <si>
    <t>Polypectomy-small</t>
  </si>
  <si>
    <t>Gastroscopy - New</t>
  </si>
  <si>
    <t>C-Urea Breath Test</t>
  </si>
  <si>
    <t>Colonoscopy - New</t>
  </si>
  <si>
    <t>C-Urea Breath</t>
  </si>
  <si>
    <t>Colonoscopy</t>
  </si>
  <si>
    <t xml:space="preserve">Endoscopy </t>
  </si>
  <si>
    <t>Surgical patients visits</t>
  </si>
  <si>
    <t xml:space="preserve"> </t>
  </si>
  <si>
    <t>CMC-WHC</t>
  </si>
  <si>
    <t xml:space="preserve">                               </t>
  </si>
  <si>
    <t>SHCH</t>
  </si>
  <si>
    <t>CMC 2019</t>
  </si>
  <si>
    <t>Mrs.Kun Sideth</t>
  </si>
  <si>
    <t>Panel Physician</t>
  </si>
  <si>
    <t>CMC 2020</t>
  </si>
  <si>
    <t>Number of VIP Visit</t>
  </si>
  <si>
    <t>Number of VIP Patient</t>
  </si>
  <si>
    <t>C-Urea Breath Test 2019</t>
  </si>
  <si>
    <t>C-Urea Breath Test 2020</t>
  </si>
  <si>
    <t>PMC 2021</t>
  </si>
  <si>
    <t>Gastroscopy - New 2020</t>
  </si>
  <si>
    <t>EMC 2021</t>
  </si>
  <si>
    <t xml:space="preserve">EMC </t>
  </si>
  <si>
    <t xml:space="preserve">PMC </t>
  </si>
  <si>
    <t>CMC 2021</t>
  </si>
  <si>
    <t>LastData</t>
  </si>
  <si>
    <t>DATA COLLECTION OF MCC IN 2022</t>
  </si>
  <si>
    <t>DATA COLLECTION OF MPC IN 2022</t>
  </si>
  <si>
    <t>DATA COLLECTION OF CHFC IN 2022</t>
  </si>
  <si>
    <t>Radiology Report by Category from 1-Jan-2021 to 31-Dec-2021 (CHFC)</t>
  </si>
  <si>
    <t>Graph of Patient visits of MPC</t>
  </si>
  <si>
    <t>CHFC 2022</t>
  </si>
  <si>
    <t>MPC 2022</t>
  </si>
  <si>
    <t>MCC 2022</t>
  </si>
  <si>
    <t xml:space="preserve">Graph of Patient Clinic Volumn of MCC- From </t>
  </si>
  <si>
    <t>Healt Checkup</t>
  </si>
  <si>
    <t>MRD</t>
  </si>
  <si>
    <t>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</si>
</sst>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0" fillId="3" borderId="1" xfId="0" applyFont="1" applyFill="1" applyBorder="1" applyAlignment="1">
      <alignment horizontal="left" vertical="center"/>
    </xf>
    <xf numFmtId="0" fontId="2" fillId="0" borderId="1" xfId="0" applyFont="1" applyBorder="1"/>
    <xf numFmtId="0" fontId="0" fillId="0" borderId="0" xfId="0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1" xfId="0" applyBorder="1" applyAlignment="1">
      <alignment horizontal="left" vertical="center"/>
    </xf>
    <xf numFmtId="165" fontId="2" fillId="0" borderId="0" xfId="1" applyFont="1" applyAlignment="1">
      <alignment horizontal="left"/>
    </xf>
    <xf numFmtId="165" fontId="0" fillId="0" borderId="0" xfId="1" applyFont="1" applyAlignment="1">
      <alignment horizontal="left"/>
    </xf>
    <xf numFmtId="0" fontId="0" fillId="2" borderId="1" xfId="0" applyFill="1" applyBorder="1" applyAlignment="1">
      <alignment horizontal="right"/>
    </xf>
    <xf numFmtId="0" fontId="0" fillId="0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0" fillId="3" borderId="0" xfId="0" applyFill="1"/>
    <xf numFmtId="0" fontId="0" fillId="0" borderId="0" xfId="0" applyAlignment="1">
      <alignment wrapText="1"/>
    </xf>
    <xf numFmtId="0" fontId="2" fillId="0" borderId="0" xfId="0" applyFont="1" applyAlignment="1"/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1" xfId="0" applyBorder="1" applyAlignment="1">
      <alignment horizontal="left" wrapText="1"/>
    </xf>
    <xf numFmtId="0" fontId="2" fillId="6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165" fontId="0" fillId="0" borderId="0" xfId="1" applyFont="1"/>
    <xf numFmtId="167" fontId="2" fillId="7" borderId="1" xfId="0" applyNumberFormat="1" applyFont="1" applyFill="1" applyBorder="1" applyAlignment="1">
      <alignment horizontal="left"/>
    </xf>
    <xf numFmtId="167" fontId="2" fillId="7" borderId="1" xfId="0" applyNumberFormat="1" applyFont="1" applyFill="1" applyBorder="1" applyAlignment="1">
      <alignment horizontal="right"/>
    </xf>
    <xf numFmtId="167" fontId="2" fillId="0" borderId="1" xfId="0" applyNumberFormat="1" applyFont="1" applyBorder="1"/>
    <xf numFmtId="0" fontId="0" fillId="0" borderId="0" xfId="0" applyBorder="1"/>
    <xf numFmtId="167" fontId="0" fillId="3" borderId="0" xfId="0" applyNumberForma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 applyBorder="1" applyAlignment="1">
      <alignment wrapText="1"/>
    </xf>
    <xf numFmtId="0" fontId="0" fillId="0" borderId="0" xfId="0" applyFill="1" applyBorder="1"/>
    <xf numFmtId="1" fontId="0" fillId="0" borderId="1" xfId="0" applyNumberFormat="1" applyBorder="1"/>
    <xf numFmtId="165" fontId="0" fillId="0" borderId="1" xfId="1" applyFont="1" applyBorder="1"/>
    <xf numFmtId="166" fontId="0" fillId="0" borderId="1" xfId="1" applyNumberFormat="1" applyFont="1" applyBorder="1"/>
    <xf numFmtId="0" fontId="0" fillId="0" borderId="5" xfId="0" applyBorder="1" applyAlignment="1"/>
    <xf numFmtId="0" fontId="0" fillId="0" borderId="6" xfId="0" applyBorder="1" applyAlignment="1"/>
    <xf numFmtId="0" fontId="0" fillId="0" borderId="5" xfId="0" applyBorder="1"/>
    <xf numFmtId="0" fontId="6" fillId="8" borderId="5" xfId="0" applyFont="1" applyFill="1" applyBorder="1" applyAlignment="1">
      <alignment horizontal="center"/>
    </xf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5" fontId="0" fillId="0" borderId="0" xfId="1" applyFont="1" applyFill="1" applyBorder="1" applyAlignment="1">
      <alignment horizontal="left"/>
    </xf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/>
    <xf numFmtId="0" fontId="0" fillId="7" borderId="1" xfId="0" applyFill="1" applyBorder="1"/>
    <xf numFmtId="167" fontId="0" fillId="7" borderId="1" xfId="0" applyNumberFormat="1" applyFill="1" applyBorder="1"/>
    <xf numFmtId="0" fontId="0" fillId="0" borderId="1" xfId="0" applyFont="1" applyBorder="1"/>
    <xf numFmtId="164" fontId="0" fillId="7" borderId="1" xfId="2" applyFont="1" applyFill="1" applyBorder="1"/>
    <xf numFmtId="0" fontId="0" fillId="0" borderId="1" xfId="0" applyBorder="1" applyAlignment="1">
      <alignment horizontal="right"/>
    </xf>
    <xf numFmtId="167" fontId="2" fillId="7" borderId="1" xfId="0" applyNumberFormat="1" applyFont="1" applyFill="1" applyBorder="1"/>
    <xf numFmtId="164" fontId="0" fillId="7" borderId="0" xfId="2" applyFont="1" applyFill="1"/>
    <xf numFmtId="0" fontId="0" fillId="7" borderId="0" xfId="0" applyFill="1"/>
    <xf numFmtId="0" fontId="6" fillId="8" borderId="1" xfId="0" applyFont="1" applyFill="1" applyBorder="1" applyAlignment="1">
      <alignment horizontal="center"/>
    </xf>
    <xf numFmtId="0" fontId="0" fillId="0" borderId="0" xfId="0"/>
    <xf numFmtId="0" fontId="2" fillId="7" borderId="1" xfId="0" applyFont="1" applyFill="1" applyBorder="1"/>
    <xf numFmtId="0" fontId="0" fillId="0" borderId="0" xfId="0"/>
    <xf numFmtId="167" fontId="2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6" fillId="9" borderId="5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3" borderId="1" xfId="0" applyFill="1" applyBorder="1"/>
    <xf numFmtId="0" fontId="0" fillId="5" borderId="1" xfId="0" applyFill="1" applyBorder="1" applyAlignment="1">
      <alignment horizontal="right"/>
    </xf>
    <xf numFmtId="164" fontId="0" fillId="7" borderId="1" xfId="2" applyFont="1" applyFill="1" applyBorder="1" applyAlignment="1">
      <alignment horizontal="left"/>
    </xf>
    <xf numFmtId="164" fontId="0" fillId="7" borderId="1" xfId="0" applyNumberFormat="1" applyFill="1" applyBorder="1" applyAlignment="1">
      <alignment horizontal="left"/>
    </xf>
    <xf numFmtId="164" fontId="2" fillId="7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7" fontId="2" fillId="5" borderId="1" xfId="0" applyNumberFormat="1" applyFont="1" applyFill="1" applyBorder="1" applyAlignment="1">
      <alignment horizontal="right" vertical="center" wrapText="1"/>
    </xf>
    <xf numFmtId="164" fontId="0" fillId="0" borderId="1" xfId="2" applyFont="1" applyBorder="1" applyAlignment="1">
      <alignment horizontal="right"/>
    </xf>
    <xf numFmtId="167" fontId="2" fillId="7" borderId="1" xfId="0" applyNumberFormat="1" applyFont="1" applyFill="1" applyBorder="1" applyAlignment="1">
      <alignment horizontal="right" vertical="center" wrapText="1"/>
    </xf>
    <xf numFmtId="167" fontId="0" fillId="7" borderId="1" xfId="0" applyNumberFormat="1" applyFill="1" applyBorder="1" applyAlignment="1">
      <alignment horizontal="right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/>
    <xf numFmtId="0" fontId="0" fillId="5" borderId="5" xfId="0" applyFill="1" applyBorder="1" applyAlignment="1"/>
    <xf numFmtId="0" fontId="0" fillId="0" borderId="6" xfId="0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7" borderId="1" xfId="0" applyFill="1" applyBorder="1" applyAlignment="1">
      <alignment horizontal="right"/>
    </xf>
    <xf numFmtId="167" fontId="0" fillId="7" borderId="1" xfId="0" quotePrefix="1" applyNumberFormat="1" applyFill="1" applyBorder="1" applyAlignment="1">
      <alignment horizontal="right"/>
    </xf>
    <xf numFmtId="0" fontId="0" fillId="0" borderId="6" xfId="0" applyBorder="1"/>
    <xf numFmtId="164" fontId="0" fillId="7" borderId="1" xfId="2" applyFont="1" applyFill="1" applyBorder="1" applyAlignment="1">
      <alignment horizontal="right"/>
    </xf>
    <xf numFmtId="0" fontId="0" fillId="0" borderId="1" xfId="0" applyBorder="1" applyAlignment="1">
      <alignment horizontal="right" vertical="center"/>
    </xf>
    <xf numFmtId="164" fontId="0" fillId="7" borderId="1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7" borderId="0" xfId="0" applyFill="1" applyAlignment="1">
      <alignment horizontal="right"/>
    </xf>
    <xf numFmtId="4" fontId="0" fillId="0" borderId="0" xfId="0" applyNumberFormat="1"/>
    <xf numFmtId="3" fontId="0" fillId="0" borderId="0" xfId="0" applyNumberFormat="1"/>
    <xf numFmtId="0" fontId="0" fillId="0" borderId="0" xfId="0"/>
    <xf numFmtId="0" fontId="0" fillId="0" borderId="10" xfId="0" applyFont="1" applyFill="1" applyBorder="1" applyAlignment="1">
      <alignment horizontal="center" vertical="center"/>
    </xf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8" borderId="6" xfId="0" applyFont="1" applyFill="1" applyBorder="1" applyAlignment="1">
      <alignment horizontal="left"/>
    </xf>
    <xf numFmtId="0" fontId="6" fillId="8" borderId="5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5" borderId="6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6" fillId="9" borderId="6" xfId="0" applyFont="1" applyFill="1" applyBorder="1" applyAlignment="1">
      <alignment horizontal="left"/>
    </xf>
    <xf numFmtId="0" fontId="6" fillId="9" borderId="5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6" xfId="0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2" borderId="6" xfId="0" applyFill="1" applyBorder="1"/>
    <xf numFmtId="0" fontId="0" fillId="0" borderId="6" xfId="0" applyFill="1" applyBorder="1"/>
    <xf numFmtId="0" fontId="0" fillId="4" borderId="6" xfId="0" applyFill="1" applyBorder="1"/>
    <xf numFmtId="0" fontId="0" fillId="0" borderId="6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2" borderId="5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1" xfId="0" applyBorder="1"/>
    <xf numFmtId="0" fontId="0" fillId="0" borderId="3" xfId="0" applyBorder="1" applyAlignment="1">
      <alignment horizontal="right"/>
    </xf>
    <xf numFmtId="0" fontId="0" fillId="10" borderId="1" xfId="0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287659278476183E-2"/>
          <c:y val="6.4329515742486701E-2"/>
          <c:w val="0.89768550425518623"/>
          <c:h val="0.7347175084665116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[1]EMC!$C$23:$N$23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EMC!#REF!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354-4F41-AA54-7C0172963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204416"/>
        <c:axId val="132205952"/>
        <c:axId val="0"/>
      </c:bar3DChart>
      <c:catAx>
        <c:axId val="132204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2205952"/>
        <c:crosses val="autoZero"/>
        <c:auto val="1"/>
        <c:lblAlgn val="ctr"/>
        <c:lblOffset val="100"/>
        <c:noMultiLvlLbl val="0"/>
      </c:catAx>
      <c:valAx>
        <c:axId val="132205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204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[1]CMC!$C$11:$N$11</c:f>
              <c:numCache>
                <c:formatCode>General</c:formatCode>
                <c:ptCount val="12"/>
              </c:numCache>
            </c:numRef>
          </c:cat>
          <c:val>
            <c:numRef>
              <c:f>[1]CMC!$C$22:$N$22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7D94-40FF-AF74-BDD533F32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785472"/>
        <c:axId val="67787008"/>
        <c:axId val="0"/>
      </c:bar3DChart>
      <c:catAx>
        <c:axId val="6778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7787008"/>
        <c:crosses val="autoZero"/>
        <c:auto val="1"/>
        <c:lblAlgn val="ctr"/>
        <c:lblOffset val="100"/>
        <c:noMultiLvlLbl val="0"/>
      </c:catAx>
      <c:valAx>
        <c:axId val="67787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7785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[1]PMC!$C$11:$N$11</c:f>
              <c:numCache>
                <c:formatCode>General</c:formatCode>
                <c:ptCount val="12"/>
              </c:numCache>
            </c:numRef>
          </c:cat>
          <c:val>
            <c:numRef>
              <c:f>[1]PMC!$C$22:$N$22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876-45A7-AA12-7549091F7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451904"/>
        <c:axId val="67453696"/>
        <c:axId val="0"/>
      </c:bar3DChart>
      <c:catAx>
        <c:axId val="6745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7453696"/>
        <c:crosses val="autoZero"/>
        <c:auto val="1"/>
        <c:lblAlgn val="ctr"/>
        <c:lblOffset val="100"/>
        <c:noMultiLvlLbl val="0"/>
      </c:catAx>
      <c:valAx>
        <c:axId val="6745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7451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8965</xdr:colOff>
      <xdr:row>28</xdr:row>
      <xdr:rowOff>22412</xdr:rowOff>
    </xdr:from>
    <xdr:to>
      <xdr:col>9</xdr:col>
      <xdr:colOff>66676</xdr:colOff>
      <xdr:row>35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</xdr:colOff>
      <xdr:row>0</xdr:row>
      <xdr:rowOff>16566</xdr:rowOff>
    </xdr:from>
    <xdr:to>
      <xdr:col>5</xdr:col>
      <xdr:colOff>438151</xdr:colOff>
      <xdr:row>4</xdr:row>
      <xdr:rowOff>11486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821E7D-3378-4BE3-A041-528010032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6566"/>
          <a:ext cx="3899039" cy="756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196</xdr:row>
      <xdr:rowOff>37640</xdr:rowOff>
    </xdr:from>
    <xdr:to>
      <xdr:col>10</xdr:col>
      <xdr:colOff>523300</xdr:colOff>
      <xdr:row>206</xdr:row>
      <xdr:rowOff>119349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6</xdr:col>
      <xdr:colOff>28575</xdr:colOff>
      <xdr:row>4</xdr:row>
      <xdr:rowOff>19051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DE02C93-34C0-41DD-862A-24DB9B72F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5162550" cy="7620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18360</xdr:colOff>
      <xdr:row>24</xdr:row>
      <xdr:rowOff>19278</xdr:rowOff>
    </xdr:from>
    <xdr:to>
      <xdr:col>9</xdr:col>
      <xdr:colOff>459036</xdr:colOff>
      <xdr:row>34</xdr:row>
      <xdr:rowOff>174433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438150</xdr:colOff>
      <xdr:row>3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EFA3C19-2E02-4249-9842-6FF28CEA4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38600" cy="752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11</xdr:col>
      <xdr:colOff>600075</xdr:colOff>
      <xdr:row>4</xdr:row>
      <xdr:rowOff>171451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40BA1B-E721-4FC1-B261-49467C28D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"/>
          <a:ext cx="741997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hea.heak/Desktop/Close%20Out%20Report%20for%20Feb'%2018/New%20folder/HMCs%20Volume%20Data-Jul-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din.yan/Dropbox/1.%20HMC%20Financial%20Statements/HMC%20June'%202017/6-%20June%202017/Copy%20of%20HMCs%20Volume%20Data-Ju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PE-Document\Database%20Officer\SHCH%20REPORT\7-SHCH%20Report%202018\06\hmc\HMCs%20Volume%20Data-Jun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C (2)"/>
      <sheetName val="CMC (2)"/>
      <sheetName val="PMC (2)"/>
      <sheetName val="3 Consolidated"/>
      <sheetName val="CMC"/>
      <sheetName val="EMC"/>
      <sheetName val="PMC"/>
      <sheetName val="4 New Patients"/>
      <sheetName val="WHC Clinic Visits"/>
      <sheetName val="5 Consol Peds"/>
      <sheetName val="CMCPeds"/>
      <sheetName val="PMCPeds"/>
      <sheetName val="EMCPeds"/>
      <sheetName val="Cons HR"/>
      <sheetName val="CMC HR"/>
      <sheetName val="EMC HR"/>
      <sheetName val="PMC HR"/>
      <sheetName val="6 Consolidated Adm"/>
      <sheetName val="CMCAdm"/>
      <sheetName val="PMCAdm"/>
      <sheetName val="7&amp;8 Consolidated Days"/>
      <sheetName val="PMCDays"/>
      <sheetName val="CMCDays"/>
      <sheetName val="9&amp;10Cons Labs"/>
      <sheetName val="CMCLAB"/>
      <sheetName val="EMCLAB"/>
      <sheetName val="PMCLAB"/>
      <sheetName val="11&amp;12 Consol Radiology"/>
      <sheetName val="CMCRadiology"/>
      <sheetName val="EMCRadiology"/>
      <sheetName val="PMCRadiology"/>
      <sheetName val="13&amp;14 Consol Rad Tests"/>
      <sheetName val="CMCRadTests"/>
      <sheetName val="EMC Rad Tests"/>
      <sheetName val="PMCRadTests"/>
      <sheetName val="P&amp;LEMC"/>
      <sheetName val="P&amp;LCMC"/>
      <sheetName val="P&amp;LPMC"/>
      <sheetName val="15 Radiology Referal Fees"/>
      <sheetName val="16&amp;17 Consol Scripts"/>
      <sheetName val="CMCScripts"/>
      <sheetName val="EMCScripts"/>
      <sheetName val="PMCScripts"/>
      <sheetName val="18 Endoscopy"/>
      <sheetName val="Endo"/>
      <sheetName val="Consolidated Surg"/>
      <sheetName val="CMCSurg"/>
      <sheetName val="EMCSurg"/>
      <sheetName val="PMCSurg"/>
      <sheetName val="EMCAdm"/>
      <sheetName val="EMCDays"/>
      <sheetName val="SAO Assess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C (2)"/>
      <sheetName val="EMC (2)"/>
      <sheetName val="PMC (2)"/>
      <sheetName val="3 Consolidated"/>
      <sheetName val="CMC"/>
      <sheetName val="EMC"/>
      <sheetName val="PMC"/>
      <sheetName val="4 New Patients"/>
      <sheetName val="WHC Clinic Visits"/>
      <sheetName val="5 Consol Peds"/>
      <sheetName val="CMCPeds"/>
      <sheetName val="PMCPeds"/>
      <sheetName val="EMCPeds"/>
      <sheetName val="Cons HR"/>
      <sheetName val="CMC HR"/>
      <sheetName val="EMC HR"/>
      <sheetName val="PMC HR"/>
      <sheetName val="6 Consolidated Adm"/>
      <sheetName val="CMCAdm"/>
      <sheetName val="PMCAdm"/>
      <sheetName val="7&amp;8 Consolidated Days"/>
      <sheetName val="CMCDays"/>
      <sheetName val="PMCDays"/>
      <sheetName val="9&amp;10Cons Labs"/>
      <sheetName val="CMCLAB"/>
      <sheetName val="EMCLAB"/>
      <sheetName val="PMCLAB"/>
      <sheetName val="11&amp;12 Consol Radiology"/>
      <sheetName val="CMCRadiology"/>
      <sheetName val="EMCRadiology"/>
      <sheetName val="PMCRadiology"/>
      <sheetName val="13&amp;14 Consol Rad Tests"/>
      <sheetName val="CMCRadTests"/>
      <sheetName val="P&amp;LCMC"/>
      <sheetName val="EMC Rad Tests"/>
      <sheetName val="P&amp;LEMC"/>
      <sheetName val="PMCRadTests"/>
      <sheetName val="P&amp;LPMC"/>
      <sheetName val="15 Radiology Referal Fees"/>
      <sheetName val="16&amp;17 Consol Scripts"/>
      <sheetName val="CMCScripts"/>
      <sheetName val="EMCScripts"/>
      <sheetName val="PMCScripts"/>
      <sheetName val="18,19,20 Consolidated Surg"/>
      <sheetName val="CMCSurg"/>
      <sheetName val="EMCSurg"/>
      <sheetName val="PMCSurg"/>
      <sheetName val="EMCAdm"/>
      <sheetName val="EMCDays"/>
      <sheetName val="SAO Assessments"/>
    </sheetNames>
    <sheetDataSet>
      <sheetData sheetId="0" refreshError="1">
        <row r="8">
          <cell r="B8" t="str">
            <v>Lab tests</v>
          </cell>
          <cell r="C8">
            <v>11158</v>
          </cell>
          <cell r="D8">
            <v>12118</v>
          </cell>
          <cell r="E8">
            <v>13080</v>
          </cell>
          <cell r="F8">
            <v>10119</v>
          </cell>
          <cell r="G8">
            <v>13174</v>
          </cell>
          <cell r="H8">
            <v>13718</v>
          </cell>
          <cell r="O8">
            <v>73367</v>
          </cell>
        </row>
        <row r="9">
          <cell r="B9" t="str">
            <v>Admission</v>
          </cell>
          <cell r="C9">
            <v>19</v>
          </cell>
          <cell r="D9">
            <v>20</v>
          </cell>
          <cell r="E9">
            <v>19</v>
          </cell>
          <cell r="F9">
            <v>26</v>
          </cell>
          <cell r="G9">
            <v>27</v>
          </cell>
          <cell r="H9">
            <v>20</v>
          </cell>
          <cell r="O9">
            <v>131</v>
          </cell>
        </row>
        <row r="10">
          <cell r="B10" t="str">
            <v>Patients Day</v>
          </cell>
          <cell r="C10">
            <v>72</v>
          </cell>
          <cell r="D10">
            <v>104</v>
          </cell>
          <cell r="E10">
            <v>129</v>
          </cell>
          <cell r="F10">
            <v>119</v>
          </cell>
          <cell r="G10">
            <v>115</v>
          </cell>
          <cell r="H10">
            <v>129</v>
          </cell>
          <cell r="O10">
            <v>668</v>
          </cell>
        </row>
        <row r="11">
          <cell r="B11" t="str">
            <v>Average Length of Stay</v>
          </cell>
          <cell r="C11">
            <v>3</v>
          </cell>
          <cell r="D11">
            <v>5</v>
          </cell>
          <cell r="E11">
            <v>6</v>
          </cell>
          <cell r="F11">
            <v>4</v>
          </cell>
          <cell r="G11">
            <v>4</v>
          </cell>
          <cell r="H11">
            <v>6</v>
          </cell>
          <cell r="O11">
            <v>28</v>
          </cell>
        </row>
        <row r="12">
          <cell r="B12" t="str">
            <v>Pharmacy Script</v>
          </cell>
          <cell r="C12">
            <v>30801</v>
          </cell>
          <cell r="D12">
            <v>29165</v>
          </cell>
          <cell r="E12">
            <v>34809</v>
          </cell>
          <cell r="F12">
            <v>27123</v>
          </cell>
          <cell r="G12">
            <v>32252</v>
          </cell>
          <cell r="H12">
            <v>32410</v>
          </cell>
          <cell r="O12">
            <v>186560</v>
          </cell>
        </row>
        <row r="13">
          <cell r="B13" t="str">
            <v>Surgical Cases</v>
          </cell>
          <cell r="C13">
            <v>24</v>
          </cell>
          <cell r="D13">
            <v>24</v>
          </cell>
          <cell r="E13">
            <v>21</v>
          </cell>
          <cell r="F13">
            <v>17</v>
          </cell>
          <cell r="G13">
            <v>18</v>
          </cell>
          <cell r="H13">
            <v>32</v>
          </cell>
          <cell r="O13">
            <v>136</v>
          </cell>
        </row>
        <row r="14">
          <cell r="B14" t="str">
            <v>Radiology Exams</v>
          </cell>
        </row>
        <row r="15">
          <cell r="B15" t="str">
            <v>X-Ray</v>
          </cell>
          <cell r="C15">
            <v>451</v>
          </cell>
          <cell r="D15">
            <v>541</v>
          </cell>
          <cell r="E15">
            <v>520</v>
          </cell>
          <cell r="F15">
            <v>451</v>
          </cell>
          <cell r="G15">
            <v>556</v>
          </cell>
          <cell r="H15">
            <v>549</v>
          </cell>
          <cell r="O15">
            <v>3068</v>
          </cell>
        </row>
        <row r="16">
          <cell r="B16" t="str">
            <v>CT-Scan</v>
          </cell>
          <cell r="C16">
            <v>112</v>
          </cell>
          <cell r="D16">
            <v>127</v>
          </cell>
          <cell r="E16">
            <v>150</v>
          </cell>
          <cell r="F16">
            <v>87</v>
          </cell>
          <cell r="G16">
            <v>146</v>
          </cell>
          <cell r="H16">
            <v>127</v>
          </cell>
          <cell r="O16">
            <v>749</v>
          </cell>
        </row>
        <row r="17">
          <cell r="B17" t="str">
            <v>Ultrasound</v>
          </cell>
          <cell r="C17">
            <v>474</v>
          </cell>
          <cell r="D17">
            <v>525</v>
          </cell>
          <cell r="E17">
            <v>535</v>
          </cell>
          <cell r="F17">
            <v>474</v>
          </cell>
          <cell r="G17">
            <v>574</v>
          </cell>
          <cell r="H17">
            <v>588</v>
          </cell>
          <cell r="O17">
            <v>3170</v>
          </cell>
        </row>
        <row r="18">
          <cell r="B18" t="str">
            <v>Mammography Service</v>
          </cell>
          <cell r="C18">
            <v>6</v>
          </cell>
          <cell r="D18">
            <v>11</v>
          </cell>
          <cell r="E18">
            <v>14</v>
          </cell>
          <cell r="F18">
            <v>5</v>
          </cell>
          <cell r="G18">
            <v>11</v>
          </cell>
          <cell r="H18">
            <v>19</v>
          </cell>
          <cell r="O18">
            <v>66</v>
          </cell>
        </row>
        <row r="19">
          <cell r="B19" t="str">
            <v>Patient visits</v>
          </cell>
          <cell r="C19">
            <v>6244</v>
          </cell>
          <cell r="D19">
            <v>6072</v>
          </cell>
          <cell r="E19">
            <v>7329</v>
          </cell>
          <cell r="F19">
            <v>5634</v>
          </cell>
          <cell r="G19">
            <v>6962</v>
          </cell>
          <cell r="H19">
            <v>6975</v>
          </cell>
          <cell r="O19">
            <v>39216</v>
          </cell>
        </row>
        <row r="20">
          <cell r="B20" t="str">
            <v>Pediatric patient</v>
          </cell>
          <cell r="C20">
            <v>31</v>
          </cell>
          <cell r="D20">
            <v>36</v>
          </cell>
          <cell r="E20">
            <v>21</v>
          </cell>
          <cell r="F20">
            <v>20</v>
          </cell>
          <cell r="G20">
            <v>18</v>
          </cell>
          <cell r="H20">
            <v>52</v>
          </cell>
          <cell r="O20">
            <v>178</v>
          </cell>
        </row>
        <row r="21">
          <cell r="B21" t="str">
            <v>Human Resource</v>
          </cell>
          <cell r="C21">
            <v>0</v>
          </cell>
          <cell r="D21">
            <v>0</v>
          </cell>
          <cell r="E21">
            <v>0</v>
          </cell>
          <cell r="O21">
            <v>0</v>
          </cell>
        </row>
        <row r="22">
          <cell r="B22" t="str">
            <v>New Patient by location</v>
          </cell>
          <cell r="O22">
            <v>0</v>
          </cell>
        </row>
        <row r="23">
          <cell r="B23" t="str">
            <v>CMC</v>
          </cell>
          <cell r="C23">
            <v>710</v>
          </cell>
          <cell r="D23">
            <v>781</v>
          </cell>
          <cell r="E23">
            <v>760</v>
          </cell>
          <cell r="F23">
            <v>604</v>
          </cell>
          <cell r="G23">
            <v>850</v>
          </cell>
          <cell r="H23">
            <v>850</v>
          </cell>
          <cell r="O23">
            <v>4555</v>
          </cell>
        </row>
        <row r="24">
          <cell r="B24" t="str">
            <v>CSC</v>
          </cell>
          <cell r="C24">
            <v>164</v>
          </cell>
          <cell r="D24">
            <v>176</v>
          </cell>
          <cell r="E24">
            <v>182</v>
          </cell>
          <cell r="F24">
            <v>154</v>
          </cell>
          <cell r="G24">
            <v>191</v>
          </cell>
          <cell r="H24">
            <v>213</v>
          </cell>
          <cell r="O24">
            <v>1080</v>
          </cell>
        </row>
        <row r="25">
          <cell r="B25" t="str">
            <v>CRC</v>
          </cell>
          <cell r="C25">
            <v>0</v>
          </cell>
          <cell r="D25">
            <v>0</v>
          </cell>
          <cell r="E25">
            <v>5</v>
          </cell>
          <cell r="F25">
            <v>0</v>
          </cell>
          <cell r="G25">
            <v>0</v>
          </cell>
          <cell r="H25">
            <v>0</v>
          </cell>
          <cell r="O25">
            <v>5</v>
          </cell>
        </row>
        <row r="27">
          <cell r="B27" t="str">
            <v>Radiology Report by Category from 1-Jan-2016 to 31-Jan-2017 (CMC)</v>
          </cell>
        </row>
        <row r="28">
          <cell r="B28" t="str">
            <v>Category Name</v>
          </cell>
        </row>
        <row r="29">
          <cell r="B29" t="str">
            <v>CT Scan</v>
          </cell>
          <cell r="C29">
            <v>440</v>
          </cell>
          <cell r="D29">
            <v>420</v>
          </cell>
          <cell r="E29">
            <v>600</v>
          </cell>
          <cell r="F29">
            <v>190</v>
          </cell>
          <cell r="G29">
            <v>440</v>
          </cell>
          <cell r="H29">
            <v>310</v>
          </cell>
        </row>
        <row r="30">
          <cell r="B30" t="str">
            <v>Endoscopy Suite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B31" t="str">
            <v>Mammography Ser</v>
          </cell>
          <cell r="C31">
            <v>0</v>
          </cell>
          <cell r="D31">
            <v>12.6</v>
          </cell>
          <cell r="E31">
            <v>6.3</v>
          </cell>
          <cell r="F31">
            <v>0</v>
          </cell>
          <cell r="G31">
            <v>0</v>
          </cell>
          <cell r="H31">
            <v>0</v>
          </cell>
        </row>
        <row r="32">
          <cell r="B32" t="str">
            <v>Ultrasound</v>
          </cell>
          <cell r="C32">
            <v>31.6</v>
          </cell>
          <cell r="D32">
            <v>13.8</v>
          </cell>
          <cell r="E32">
            <v>26</v>
          </cell>
          <cell r="F32">
            <v>6</v>
          </cell>
          <cell r="G32">
            <v>18</v>
          </cell>
          <cell r="H32">
            <v>12</v>
          </cell>
        </row>
        <row r="33">
          <cell r="B33" t="str">
            <v>X-Ray</v>
          </cell>
          <cell r="C33">
            <v>41.4</v>
          </cell>
          <cell r="D33">
            <v>60.6</v>
          </cell>
          <cell r="E33">
            <v>102.4</v>
          </cell>
          <cell r="F33">
            <v>42.2</v>
          </cell>
          <cell r="G33">
            <v>57.6</v>
          </cell>
          <cell r="H33">
            <v>45.2</v>
          </cell>
        </row>
        <row r="34">
          <cell r="B34" t="str">
            <v>Total</v>
          </cell>
          <cell r="C34">
            <v>513</v>
          </cell>
          <cell r="D34">
            <v>507.00000000000006</v>
          </cell>
          <cell r="E34">
            <v>734.69999999999993</v>
          </cell>
          <cell r="F34">
            <v>238.2</v>
          </cell>
          <cell r="G34">
            <v>515.6</v>
          </cell>
          <cell r="H34">
            <v>367.2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6">
          <cell r="B36" t="str">
            <v>Service Referal Commission from 1-Jan-2016 to 31-Jan-2017 (Group by Commissioner)</v>
          </cell>
        </row>
        <row r="37">
          <cell r="B37" t="str">
            <v>COMMISSIONER_NAME</v>
          </cell>
        </row>
        <row r="38">
          <cell r="B38" t="str">
            <v>Bou Sopheap</v>
          </cell>
        </row>
        <row r="39">
          <cell r="B39" t="str">
            <v>Gnan Channoeun</v>
          </cell>
          <cell r="D39">
            <v>1.6</v>
          </cell>
          <cell r="F39">
            <v>1.8</v>
          </cell>
        </row>
        <row r="40">
          <cell r="B40" t="str">
            <v>Pov Sinny</v>
          </cell>
          <cell r="D40">
            <v>50</v>
          </cell>
        </row>
        <row r="41">
          <cell r="B41" t="str">
            <v>Dr Reth</v>
          </cell>
          <cell r="D41">
            <v>6.3</v>
          </cell>
        </row>
        <row r="42">
          <cell r="B42" t="str">
            <v>Dr. Frank Duggan</v>
          </cell>
          <cell r="D42">
            <v>20</v>
          </cell>
        </row>
        <row r="43">
          <cell r="B43" t="str">
            <v>Loch Phearum</v>
          </cell>
          <cell r="C43">
            <v>2</v>
          </cell>
        </row>
        <row r="44">
          <cell r="B44" t="str">
            <v>Dr Des Vantha</v>
          </cell>
          <cell r="D44">
            <v>1.8</v>
          </cell>
        </row>
        <row r="45">
          <cell r="B45" t="str">
            <v>D.N Polyclinic</v>
          </cell>
          <cell r="D45">
            <v>2</v>
          </cell>
        </row>
        <row r="46">
          <cell r="B46" t="str">
            <v>Dr.Thuynh Thi Phuong Lan</v>
          </cell>
          <cell r="D46">
            <v>30</v>
          </cell>
        </row>
        <row r="47">
          <cell r="B47" t="str">
            <v>Clinic 4S</v>
          </cell>
        </row>
        <row r="48">
          <cell r="B48" t="str">
            <v>Dr. Chea Vannarith</v>
          </cell>
          <cell r="C48">
            <v>30</v>
          </cell>
        </row>
        <row r="49">
          <cell r="B49" t="str">
            <v>Dr. Claire Uebbing</v>
          </cell>
        </row>
        <row r="50">
          <cell r="B50" t="str">
            <v>Dr. Kea Sok Leng</v>
          </cell>
        </row>
        <row r="51">
          <cell r="B51" t="str">
            <v>Dr. Kith Seab</v>
          </cell>
        </row>
        <row r="52">
          <cell r="B52" t="str">
            <v>Dr. Khov Mong</v>
          </cell>
        </row>
        <row r="53">
          <cell r="B53" t="str">
            <v>Dr. Nhep Chhuna</v>
          </cell>
        </row>
        <row r="54">
          <cell r="B54" t="str">
            <v>Dr. Non Tisophen</v>
          </cell>
        </row>
        <row r="55">
          <cell r="B55" t="str">
            <v>Dr. Sim Sok Chan</v>
          </cell>
          <cell r="C55">
            <v>299.8</v>
          </cell>
          <cell r="D55">
            <v>322.60000000000002</v>
          </cell>
          <cell r="F55">
            <v>160.80000000000001</v>
          </cell>
          <cell r="G55">
            <v>437.6</v>
          </cell>
          <cell r="H55">
            <v>341.6</v>
          </cell>
        </row>
        <row r="56">
          <cell r="B56" t="str">
            <v>Dr. Tek Chan Serey</v>
          </cell>
        </row>
        <row r="57">
          <cell r="B57" t="str">
            <v>Dr. Thaihoa Weygand</v>
          </cell>
          <cell r="E57">
            <v>30</v>
          </cell>
        </row>
        <row r="58">
          <cell r="B58" t="str">
            <v>Dr. Tord Sochat</v>
          </cell>
        </row>
        <row r="59">
          <cell r="B59" t="str">
            <v>Dr. Uk Pisey</v>
          </cell>
          <cell r="D59">
            <v>2</v>
          </cell>
          <cell r="E59">
            <v>5.6</v>
          </cell>
        </row>
        <row r="60">
          <cell r="B60" t="str">
            <v>Dr.Bou Sopheap</v>
          </cell>
          <cell r="F60">
            <v>2</v>
          </cell>
        </row>
        <row r="61">
          <cell r="B61" t="str">
            <v>Dr.Nov Kimsan</v>
          </cell>
        </row>
        <row r="62">
          <cell r="B62" t="str">
            <v>Dr.Pagna</v>
          </cell>
        </row>
        <row r="63">
          <cell r="B63" t="str">
            <v>Dr. Pisay</v>
          </cell>
        </row>
        <row r="64">
          <cell r="B64" t="str">
            <v>Dr.Sao Sira</v>
          </cell>
          <cell r="C64">
            <v>9.1999999999999993</v>
          </cell>
          <cell r="D64">
            <v>33.6</v>
          </cell>
          <cell r="E64">
            <v>25.6</v>
          </cell>
        </row>
        <row r="65">
          <cell r="B65" t="str">
            <v>Dr. Soeurn Sereysopagna</v>
          </cell>
          <cell r="G65">
            <v>52</v>
          </cell>
        </row>
        <row r="66">
          <cell r="B66" t="str">
            <v>Dr.Sar Panha</v>
          </cell>
        </row>
        <row r="67">
          <cell r="B67" t="str">
            <v>Dr.Sok Tino</v>
          </cell>
        </row>
        <row r="68">
          <cell r="B68" t="str">
            <v>Dr.Song Bun Than</v>
          </cell>
        </row>
        <row r="69">
          <cell r="B69" t="str">
            <v>Dr.Sopheak</v>
          </cell>
        </row>
        <row r="70">
          <cell r="B70" t="str">
            <v>Dr.Tola</v>
          </cell>
          <cell r="E70">
            <v>2</v>
          </cell>
          <cell r="F70">
            <v>21.6</v>
          </cell>
        </row>
        <row r="71">
          <cell r="B71" t="str">
            <v>Hok Tola</v>
          </cell>
          <cell r="C71">
            <v>21.6</v>
          </cell>
          <cell r="D71">
            <v>3.2</v>
          </cell>
          <cell r="E71">
            <v>1.8</v>
          </cell>
          <cell r="H71">
            <v>1.6</v>
          </cell>
        </row>
        <row r="72">
          <cell r="B72" t="str">
            <v>Hem Thorn</v>
          </cell>
        </row>
        <row r="73">
          <cell r="B73" t="str">
            <v>Khema</v>
          </cell>
        </row>
        <row r="74">
          <cell r="B74" t="str">
            <v>Outside Commissioner</v>
          </cell>
          <cell r="C74">
            <v>110</v>
          </cell>
          <cell r="D74">
            <v>13.9</v>
          </cell>
          <cell r="E74">
            <v>11.9</v>
          </cell>
          <cell r="F74">
            <v>2</v>
          </cell>
        </row>
        <row r="75">
          <cell r="B75" t="str">
            <v>Sik Thireak</v>
          </cell>
        </row>
        <row r="76">
          <cell r="B76" t="str">
            <v>Dr. kap Vannak</v>
          </cell>
        </row>
        <row r="77">
          <cell r="B77" t="str">
            <v>Dr. Maly</v>
          </cell>
        </row>
        <row r="78">
          <cell r="B78" t="str">
            <v>Dr. Sim Thida</v>
          </cell>
          <cell r="F78">
            <v>20</v>
          </cell>
        </row>
        <row r="79">
          <cell r="B79" t="str">
            <v>Dr. Sophal</v>
          </cell>
        </row>
        <row r="80">
          <cell r="B80" t="str">
            <v>Dr. Soryon</v>
          </cell>
        </row>
        <row r="81">
          <cell r="B81" t="str">
            <v>Dr.Heng Siek Leng</v>
          </cell>
        </row>
        <row r="82">
          <cell r="B82" t="str">
            <v>Dr.Meas Leng</v>
          </cell>
        </row>
        <row r="83">
          <cell r="B83" t="str">
            <v>Dr.Mony</v>
          </cell>
        </row>
        <row r="84">
          <cell r="B84" t="str">
            <v>Dr.Prum Vises</v>
          </cell>
        </row>
        <row r="85">
          <cell r="B85" t="str">
            <v>Dr.Say Somdy</v>
          </cell>
        </row>
        <row r="86">
          <cell r="B86" t="str">
            <v>Dr.Sopheap</v>
          </cell>
          <cell r="D86">
            <v>20</v>
          </cell>
        </row>
        <row r="87">
          <cell r="B87" t="str">
            <v>Dr.Sras Kanitha</v>
          </cell>
        </row>
        <row r="88">
          <cell r="B88" t="str">
            <v>In Sarath</v>
          </cell>
          <cell r="D88">
            <v>20</v>
          </cell>
        </row>
        <row r="89">
          <cell r="B89" t="str">
            <v>Leng Lina</v>
          </cell>
          <cell r="D89">
            <v>3.2</v>
          </cell>
        </row>
        <row r="90">
          <cell r="B90" t="str">
            <v>Ma Sarorn</v>
          </cell>
          <cell r="D90">
            <v>3.2</v>
          </cell>
        </row>
        <row r="91">
          <cell r="B91" t="str">
            <v>CSI</v>
          </cell>
        </row>
        <row r="92">
          <cell r="B92" t="str">
            <v>Vathana</v>
          </cell>
        </row>
        <row r="93">
          <cell r="B93" t="str">
            <v>Chen Sao Ly</v>
          </cell>
        </row>
        <row r="94">
          <cell r="B94" t="str">
            <v>Dr. Moa Aun</v>
          </cell>
        </row>
        <row r="95">
          <cell r="B95" t="str">
            <v>Dr. Truy Pich</v>
          </cell>
        </row>
        <row r="96">
          <cell r="B96" t="str">
            <v>Dr.Sin Tour Phot</v>
          </cell>
        </row>
        <row r="97">
          <cell r="B97" t="str">
            <v>Dr.Sour Se</v>
          </cell>
          <cell r="H97">
            <v>20</v>
          </cell>
        </row>
        <row r="98">
          <cell r="B98" t="str">
            <v>Dr.Yeng Sokha</v>
          </cell>
        </row>
        <row r="99">
          <cell r="B99" t="str">
            <v>Uch Somary</v>
          </cell>
        </row>
        <row r="100">
          <cell r="B100" t="str">
            <v>Phann Sitha</v>
          </cell>
        </row>
        <row r="101">
          <cell r="B101" t="str">
            <v>Dr.Chea Chandy</v>
          </cell>
        </row>
        <row r="102">
          <cell r="B102" t="str">
            <v>Dr. Konitha</v>
          </cell>
        </row>
        <row r="103">
          <cell r="B103" t="str">
            <v>Dr. Or Vathanak</v>
          </cell>
        </row>
        <row r="104">
          <cell r="B104" t="str">
            <v>Dr. Somaly</v>
          </cell>
        </row>
        <row r="105">
          <cell r="B105" t="str">
            <v>Dr.Huynh Chi Phuong Lan</v>
          </cell>
        </row>
        <row r="106">
          <cell r="B106" t="str">
            <v>Dr.Khemry</v>
          </cell>
        </row>
        <row r="107">
          <cell r="B107" t="str">
            <v>Nhem Neth</v>
          </cell>
          <cell r="C107">
            <v>6</v>
          </cell>
        </row>
        <row r="108">
          <cell r="B108" t="str">
            <v>Prum Satya</v>
          </cell>
        </row>
        <row r="109">
          <cell r="B109" t="str">
            <v>Simthida</v>
          </cell>
        </row>
        <row r="110">
          <cell r="B110" t="str">
            <v>Dr. Ry Sina</v>
          </cell>
        </row>
        <row r="111">
          <cell r="B111" t="str">
            <v>Dr. Sam oul</v>
          </cell>
        </row>
        <row r="112">
          <cell r="B112" t="str">
            <v>Dr. Men Sam Oul</v>
          </cell>
        </row>
        <row r="113">
          <cell r="B113" t="str">
            <v>Dr. Oeng Sandy</v>
          </cell>
        </row>
        <row r="114">
          <cell r="B114" t="str">
            <v>Dr. Emmett Goitre</v>
          </cell>
        </row>
        <row r="115">
          <cell r="B115" t="str">
            <v>Dr. Emmett Mcguire</v>
          </cell>
        </row>
        <row r="116">
          <cell r="B116" t="str">
            <v>Dr Hay</v>
          </cell>
        </row>
        <row r="117">
          <cell r="B117" t="str">
            <v>Dr. An Sokkab</v>
          </cell>
        </row>
        <row r="118">
          <cell r="B118" t="str">
            <v>Dr. Keath Huy</v>
          </cell>
        </row>
        <row r="119">
          <cell r="B119" t="str">
            <v>Dr. Ho Kimheang</v>
          </cell>
        </row>
        <row r="120">
          <cell r="B120" t="str">
            <v xml:space="preserve">Dr. Kong Piseth </v>
          </cell>
        </row>
        <row r="121">
          <cell r="B121" t="str">
            <v>Dr. Kou Kim Heak</v>
          </cell>
        </row>
        <row r="122">
          <cell r="B122" t="str">
            <v>Dr. Minear (Clinic Teng Seun)</v>
          </cell>
        </row>
        <row r="123">
          <cell r="B123" t="str">
            <v>Dr. Sa Em Thavary</v>
          </cell>
        </row>
        <row r="124">
          <cell r="B124" t="str">
            <v>Dr. Rithy</v>
          </cell>
        </row>
        <row r="125">
          <cell r="B125" t="str">
            <v>Dr.Pen Sam Kol</v>
          </cell>
        </row>
        <row r="126">
          <cell r="B126" t="str">
            <v>Nou Tisophea</v>
          </cell>
          <cell r="E126">
            <v>1.8</v>
          </cell>
        </row>
        <row r="127">
          <cell r="B127" t="str">
            <v>Dr.Tan Narith</v>
          </cell>
        </row>
        <row r="128">
          <cell r="B128" t="str">
            <v>Dr Pen Samnal</v>
          </cell>
        </row>
        <row r="129">
          <cell r="B129" t="str">
            <v>Dr.Mean Sitha</v>
          </cell>
        </row>
        <row r="130">
          <cell r="B130" t="str">
            <v>Dr.Sim Kong</v>
          </cell>
        </row>
        <row r="131">
          <cell r="B131" t="str">
            <v>Dr.Sok Samnang</v>
          </cell>
        </row>
        <row r="132">
          <cell r="B132" t="str">
            <v>Huoth chansrmaly</v>
          </cell>
        </row>
        <row r="133">
          <cell r="B133" t="str">
            <v>Oum Sovanaroth</v>
          </cell>
        </row>
        <row r="134">
          <cell r="B134" t="str">
            <v>Sok Sonimol</v>
          </cell>
        </row>
        <row r="135">
          <cell r="B135" t="str">
            <v>Teap Kim heang</v>
          </cell>
        </row>
        <row r="136">
          <cell r="B136" t="str">
            <v>Chetra Clinic</v>
          </cell>
          <cell r="E136">
            <v>20</v>
          </cell>
        </row>
        <row r="137">
          <cell r="B137" t="str">
            <v>Dr kresna</v>
          </cell>
        </row>
        <row r="138">
          <cell r="B138" t="str">
            <v>Dr. Keo Vansocheat</v>
          </cell>
        </row>
        <row r="139">
          <cell r="B139" t="str">
            <v>Dr. Seng Sarak</v>
          </cell>
        </row>
        <row r="140">
          <cell r="B140" t="str">
            <v>Dr. Tieng Vantha</v>
          </cell>
          <cell r="G140">
            <v>3.2</v>
          </cell>
        </row>
        <row r="141">
          <cell r="B141" t="str">
            <v>Dr.Khov Mong</v>
          </cell>
        </row>
        <row r="142">
          <cell r="B142" t="str">
            <v>Dr.rossothavrith</v>
          </cell>
        </row>
        <row r="143">
          <cell r="B143" t="str">
            <v>Keo Bony</v>
          </cell>
        </row>
        <row r="144">
          <cell r="B144" t="str">
            <v>Dr Kang Own</v>
          </cell>
          <cell r="G144">
            <v>2.8</v>
          </cell>
          <cell r="H144">
            <v>4</v>
          </cell>
        </row>
        <row r="145">
          <cell r="B145" t="str">
            <v>Dr.Choun Kimcheng</v>
          </cell>
          <cell r="G145">
            <v>20</v>
          </cell>
        </row>
        <row r="146">
          <cell r="B146" t="str">
            <v>Kiv Sothea</v>
          </cell>
        </row>
        <row r="147">
          <cell r="B147" t="str">
            <v>Pang Sopheak</v>
          </cell>
        </row>
        <row r="148">
          <cell r="B148" t="str">
            <v>Pith Samphor</v>
          </cell>
        </row>
        <row r="149">
          <cell r="B149" t="str">
            <v>Pov Sinny</v>
          </cell>
          <cell r="E149">
            <v>33.200000000000003</v>
          </cell>
        </row>
        <row r="150">
          <cell r="B150" t="str">
            <v>Dr. Pov Map</v>
          </cell>
        </row>
        <row r="151">
          <cell r="B151" t="str">
            <v>Dr. Seng Sarak</v>
          </cell>
        </row>
        <row r="152">
          <cell r="B152" t="str">
            <v>Dr. Sokhey</v>
          </cell>
        </row>
        <row r="153">
          <cell r="B153" t="str">
            <v>Nim Sithat</v>
          </cell>
        </row>
        <row r="154">
          <cell r="B154" t="str">
            <v>Dr. Smithidavy</v>
          </cell>
        </row>
        <row r="155">
          <cell r="B155" t="str">
            <v>Sor Phana</v>
          </cell>
          <cell r="C155">
            <v>30</v>
          </cell>
          <cell r="F155">
            <v>30</v>
          </cell>
        </row>
        <row r="156">
          <cell r="B156" t="str">
            <v>Soy Sokhoeun</v>
          </cell>
        </row>
        <row r="157">
          <cell r="B157" t="str">
            <v>Van Socheat</v>
          </cell>
        </row>
        <row r="158">
          <cell r="B158" t="str">
            <v>Dr. Khek yaden</v>
          </cell>
        </row>
        <row r="159">
          <cell r="B159" t="str">
            <v>Dr. Kouy Somnang</v>
          </cell>
        </row>
        <row r="160">
          <cell r="B160" t="str">
            <v>Dr. Narun</v>
          </cell>
        </row>
        <row r="161">
          <cell r="B161" t="str">
            <v>Dr. Phak</v>
          </cell>
        </row>
        <row r="162">
          <cell r="B162" t="str">
            <v>Dr. Rin</v>
          </cell>
        </row>
        <row r="163">
          <cell r="B163" t="str">
            <v>sary</v>
          </cell>
        </row>
        <row r="164">
          <cell r="B164" t="str">
            <v>Ru Silvath</v>
          </cell>
        </row>
        <row r="165">
          <cell r="B165" t="str">
            <v>Dr. Thao Titya</v>
          </cell>
        </row>
        <row r="166">
          <cell r="B166" t="str">
            <v>Dr. Noutpheab</v>
          </cell>
        </row>
        <row r="167">
          <cell r="B167" t="str">
            <v>Dr. Touch Socheat</v>
          </cell>
        </row>
        <row r="168">
          <cell r="B168" t="str">
            <v>Dr. Sor Wathana</v>
          </cell>
        </row>
        <row r="169">
          <cell r="B169" t="str">
            <v>Thou Sophany</v>
          </cell>
        </row>
        <row r="170">
          <cell r="B170" t="str">
            <v>Pov Siny</v>
          </cell>
        </row>
        <row r="171">
          <cell r="B171" t="str">
            <v>Dr. Des Vantha</v>
          </cell>
          <cell r="C171">
            <v>4.4000000000000004</v>
          </cell>
        </row>
        <row r="172">
          <cell r="B172" t="str">
            <v>Dr. Turobova Tatiana</v>
          </cell>
        </row>
        <row r="173">
          <cell r="B173" t="str">
            <v>Kea Rathana</v>
          </cell>
        </row>
        <row r="174">
          <cell r="B174" t="str">
            <v>Tong Makara</v>
          </cell>
        </row>
        <row r="175">
          <cell r="B175" t="str">
            <v>TOTAL</v>
          </cell>
          <cell r="C175">
            <v>513</v>
          </cell>
          <cell r="D175">
            <v>533.40000000000009</v>
          </cell>
          <cell r="E175">
            <v>131.9</v>
          </cell>
          <cell r="F175">
            <v>238.20000000000002</v>
          </cell>
          <cell r="G175">
            <v>515.6</v>
          </cell>
          <cell r="H175">
            <v>367.20000000000005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80">
          <cell r="B180" t="str">
            <v>Graph of Patient visits of CMC- From Jan to December 2015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C (2)"/>
      <sheetName val="CMC (2)"/>
      <sheetName val="PMC (2)"/>
      <sheetName val="3 Consolidated"/>
      <sheetName val="CMC"/>
      <sheetName val="EMC"/>
      <sheetName val="PMC"/>
      <sheetName val="4 New Patients"/>
      <sheetName val="WHC Clinic Visits"/>
      <sheetName val="5 Consol Peds"/>
      <sheetName val="CMCPeds"/>
      <sheetName val="PMCPeds"/>
      <sheetName val="EMCPeds"/>
      <sheetName val="Cons HR"/>
      <sheetName val="CMC HR"/>
      <sheetName val="EMC HR"/>
      <sheetName val="PMC HR"/>
      <sheetName val="6 Consolidated Adm"/>
      <sheetName val="CMCAdm"/>
      <sheetName val="PMCAdm"/>
      <sheetName val="7&amp;8 Consolidated Days"/>
      <sheetName val="PMCDays"/>
      <sheetName val="CMCDays"/>
      <sheetName val="9&amp;10Cons Labs"/>
      <sheetName val="CMCLAB"/>
      <sheetName val="EMCLAB"/>
      <sheetName val="PMCLAB"/>
      <sheetName val="11&amp;12 Consol Radiology"/>
      <sheetName val="CMCRadiology"/>
      <sheetName val="EMCRadiology"/>
      <sheetName val="PMCRadiology"/>
      <sheetName val="13&amp;14 Consol Rad Tests"/>
      <sheetName val="CMCRadTests"/>
      <sheetName val="EMC Rad Tests"/>
      <sheetName val="PMCRadTests"/>
      <sheetName val="P&amp;LEMC"/>
      <sheetName val="P&amp;LCMC"/>
      <sheetName val="P&amp;LPMC"/>
      <sheetName val="15 Radiology Referal Fees"/>
      <sheetName val="16&amp;17 Consol Scripts"/>
      <sheetName val="CMCScripts"/>
      <sheetName val="EMCScripts"/>
      <sheetName val="PMCScripts"/>
      <sheetName val="18 Endoscopy"/>
      <sheetName val="Endo"/>
      <sheetName val="Consolidated Surg"/>
      <sheetName val="CMCSurg"/>
      <sheetName val="EMCSurg"/>
      <sheetName val="PMCSurg"/>
      <sheetName val="EMCAdm"/>
      <sheetName val="EMCDays"/>
      <sheetName val="SAO Assess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>
        <row r="35">
          <cell r="B35" t="str">
            <v>Colonoscopy - New</v>
          </cell>
          <cell r="C35">
            <v>10</v>
          </cell>
          <cell r="D35">
            <v>2039.6</v>
          </cell>
          <cell r="E35">
            <v>1611.28</v>
          </cell>
        </row>
        <row r="36">
          <cell r="B36" t="str">
            <v>Colonoscopy under sedation and biopsy</v>
          </cell>
          <cell r="C36">
            <v>1</v>
          </cell>
          <cell r="D36">
            <v>203.96</v>
          </cell>
          <cell r="E36">
            <v>203.96</v>
          </cell>
        </row>
        <row r="37">
          <cell r="B37" t="str">
            <v>C-Urea Breath Test</v>
          </cell>
          <cell r="C37">
            <v>57</v>
          </cell>
          <cell r="D37">
            <v>1863</v>
          </cell>
          <cell r="E37">
            <v>1859.7</v>
          </cell>
        </row>
        <row r="38">
          <cell r="B38" t="str">
            <v>Gastroscopy - New</v>
          </cell>
          <cell r="C38">
            <v>76</v>
          </cell>
          <cell r="D38">
            <v>6703.2</v>
          </cell>
          <cell r="E38">
            <v>6456.24</v>
          </cell>
        </row>
        <row r="39">
          <cell r="B39" t="str">
            <v>Rectoscopy</v>
          </cell>
          <cell r="C39">
            <v>1</v>
          </cell>
          <cell r="D39">
            <v>49.61</v>
          </cell>
          <cell r="E39">
            <v>49.61</v>
          </cell>
        </row>
        <row r="40">
          <cell r="B40" t="str">
            <v>Sigmoidoscopy under sedation and biopsy</v>
          </cell>
          <cell r="C40">
            <v>1</v>
          </cell>
          <cell r="D40">
            <v>170.89</v>
          </cell>
          <cell r="E40">
            <v>170.89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X38"/>
  <sheetViews>
    <sheetView zoomScaleNormal="100" workbookViewId="0">
      <selection activeCell="V23" sqref="V23"/>
    </sheetView>
  </sheetViews>
  <sheetFormatPr defaultColWidth="9.140625" defaultRowHeight="15" x14ac:dyDescent="0.25"/>
  <cols>
    <col min="1" max="1" width="4.5703125" customWidth="1"/>
    <col min="2" max="2" width="27.28515625" customWidth="1"/>
    <col min="3" max="3" width="6.7109375" customWidth="1"/>
    <col min="4" max="4" width="6.7109375" style="84" customWidth="1"/>
    <col min="5" max="7" width="6.7109375" customWidth="1"/>
    <col min="8" max="8" width="6.85546875" customWidth="1"/>
    <col min="9" max="14" width="6.7109375" customWidth="1"/>
    <col min="15" max="15" width="8.7109375" customWidth="1"/>
    <col min="23" max="23" width="9.5703125" customWidth="1"/>
  </cols>
  <sheetData>
    <row r="5" spans="1:24" s="1" customFormat="1" ht="17.25" customHeight="1" x14ac:dyDescent="0.3">
      <c r="A5" s="127" t="s">
        <v>221</v>
      </c>
      <c r="B5" s="127"/>
      <c r="C5" s="127"/>
      <c r="D5" s="127"/>
    </row>
    <row r="7" spans="1:24" ht="16.149999999999999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2" t="s">
        <v>13</v>
      </c>
      <c r="O7" s="2" t="s">
        <v>14</v>
      </c>
    </row>
    <row r="8" spans="1:24" x14ac:dyDescent="0.25">
      <c r="A8" s="3">
        <v>1</v>
      </c>
      <c r="B8" s="4" t="s">
        <v>15</v>
      </c>
      <c r="C8" s="4">
        <v>4424</v>
      </c>
      <c r="D8" s="4">
        <v>3336</v>
      </c>
      <c r="E8" s="4">
        <v>3929</v>
      </c>
      <c r="F8" s="4">
        <v>3794</v>
      </c>
      <c r="G8" s="4">
        <v>5574</v>
      </c>
      <c r="H8" s="4">
        <v>4933</v>
      </c>
      <c r="I8" s="4">
        <v>4191</v>
      </c>
      <c r="J8" s="4">
        <v>4043</v>
      </c>
      <c r="K8" s="4">
        <v>3445</v>
      </c>
      <c r="L8" s="4">
        <v>5484</v>
      </c>
      <c r="M8" s="123">
        <v>6525</v>
      </c>
      <c r="N8" s="149">
        <v>8696</v>
      </c>
      <c r="O8" s="5">
        <f t="shared" ref="O8:O14" si="0">SUM(C8:N8)</f>
        <v>58374</v>
      </c>
    </row>
    <row r="9" spans="1:24" x14ac:dyDescent="0.25">
      <c r="A9" s="3">
        <v>2</v>
      </c>
      <c r="B9" s="6" t="s">
        <v>16</v>
      </c>
      <c r="C9" s="4">
        <v>0</v>
      </c>
      <c r="D9" s="56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149">
        <v>0</v>
      </c>
      <c r="O9" s="5">
        <f t="shared" si="0"/>
        <v>0</v>
      </c>
    </row>
    <row r="10" spans="1:24" x14ac:dyDescent="0.25">
      <c r="A10" s="3">
        <v>3</v>
      </c>
      <c r="B10" s="6" t="s">
        <v>17</v>
      </c>
      <c r="C10" s="4"/>
      <c r="D10" s="56"/>
      <c r="E10" s="4"/>
      <c r="F10" s="4"/>
      <c r="G10" s="4"/>
      <c r="H10" s="4"/>
      <c r="I10" s="4"/>
      <c r="J10" s="4"/>
      <c r="K10" s="4"/>
      <c r="L10" s="4"/>
      <c r="M10" s="4"/>
      <c r="N10" s="149"/>
      <c r="O10" s="5">
        <f t="shared" si="0"/>
        <v>0</v>
      </c>
    </row>
    <row r="11" spans="1:24" x14ac:dyDescent="0.25">
      <c r="A11" s="3">
        <v>4</v>
      </c>
      <c r="B11" s="6" t="s">
        <v>18</v>
      </c>
      <c r="C11" s="4"/>
      <c r="D11" s="56"/>
      <c r="E11" s="4"/>
      <c r="F11" s="4"/>
      <c r="G11" s="4"/>
      <c r="H11" s="4"/>
      <c r="I11" s="4"/>
      <c r="J11" s="4"/>
      <c r="K11" s="4"/>
      <c r="L11" s="4"/>
      <c r="M11" s="4"/>
      <c r="N11" s="149"/>
      <c r="O11" s="5">
        <f t="shared" si="0"/>
        <v>0</v>
      </c>
      <c r="W11" s="34"/>
      <c r="X11" s="34"/>
    </row>
    <row r="12" spans="1:24" x14ac:dyDescent="0.25">
      <c r="A12" s="3">
        <v>5</v>
      </c>
      <c r="B12" s="4" t="s">
        <v>19</v>
      </c>
      <c r="C12" s="4">
        <v>3961</v>
      </c>
      <c r="D12" s="4">
        <v>3542</v>
      </c>
      <c r="E12" s="4">
        <v>4110</v>
      </c>
      <c r="F12" s="4">
        <v>3652</v>
      </c>
      <c r="G12" s="4">
        <v>4172</v>
      </c>
      <c r="H12" s="4">
        <v>4326</v>
      </c>
      <c r="I12" s="4">
        <v>4102</v>
      </c>
      <c r="J12" s="4">
        <v>4109</v>
      </c>
      <c r="K12" s="4">
        <v>3808</v>
      </c>
      <c r="L12" s="4">
        <v>4425</v>
      </c>
      <c r="M12" s="124">
        <v>4213</v>
      </c>
      <c r="N12" s="149">
        <v>5171</v>
      </c>
      <c r="O12" s="5">
        <f t="shared" si="0"/>
        <v>49591</v>
      </c>
      <c r="W12" s="34"/>
      <c r="X12" s="34"/>
    </row>
    <row r="13" spans="1:24" x14ac:dyDescent="0.25">
      <c r="A13" s="3">
        <v>6</v>
      </c>
      <c r="B13" s="4" t="s">
        <v>20</v>
      </c>
      <c r="C13" s="4"/>
      <c r="D13" s="56"/>
      <c r="E13" s="4"/>
      <c r="F13" s="4"/>
      <c r="G13" s="4"/>
      <c r="H13" s="4"/>
      <c r="I13" s="4"/>
      <c r="J13" s="4"/>
      <c r="K13" s="4"/>
      <c r="L13" s="4"/>
      <c r="M13" s="4"/>
      <c r="N13" s="4"/>
      <c r="O13" s="5">
        <f t="shared" si="0"/>
        <v>0</v>
      </c>
      <c r="W13" s="34"/>
      <c r="X13" s="34"/>
    </row>
    <row r="14" spans="1:24" x14ac:dyDescent="0.25">
      <c r="A14" s="128">
        <v>7</v>
      </c>
      <c r="B14" s="5" t="s">
        <v>21</v>
      </c>
      <c r="C14" s="4"/>
      <c r="D14" s="56"/>
      <c r="E14" s="7"/>
      <c r="F14" s="7"/>
      <c r="G14" s="7"/>
      <c r="H14" s="4"/>
      <c r="I14" s="7"/>
      <c r="J14" s="7"/>
      <c r="K14" s="4"/>
      <c r="L14" s="7"/>
      <c r="M14" s="4"/>
      <c r="N14" s="7"/>
      <c r="O14" s="5">
        <f t="shared" si="0"/>
        <v>0</v>
      </c>
      <c r="W14" s="34"/>
      <c r="X14" s="34"/>
    </row>
    <row r="15" spans="1:24" x14ac:dyDescent="0.25">
      <c r="A15" s="129"/>
      <c r="B15" s="4" t="s">
        <v>22</v>
      </c>
      <c r="C15" s="4">
        <v>195</v>
      </c>
      <c r="D15" s="4">
        <v>206</v>
      </c>
      <c r="E15" s="4">
        <v>218</v>
      </c>
      <c r="F15" s="4">
        <v>172</v>
      </c>
      <c r="G15" s="4">
        <v>270</v>
      </c>
      <c r="H15" s="4">
        <v>187</v>
      </c>
      <c r="I15" s="4">
        <v>165</v>
      </c>
      <c r="J15" s="4">
        <v>126</v>
      </c>
      <c r="K15" s="4">
        <v>139</v>
      </c>
      <c r="L15" s="4">
        <v>200</v>
      </c>
      <c r="M15" s="125">
        <v>285</v>
      </c>
      <c r="N15" s="150">
        <v>421</v>
      </c>
      <c r="O15" s="5">
        <f>SUM(C15:N15)</f>
        <v>2584</v>
      </c>
      <c r="Q15" s="8"/>
      <c r="R15" s="8"/>
      <c r="S15" s="8"/>
      <c r="W15" s="34"/>
      <c r="X15" s="34"/>
    </row>
    <row r="16" spans="1:24" x14ac:dyDescent="0.25">
      <c r="A16" s="129"/>
      <c r="B16" s="4" t="s">
        <v>23</v>
      </c>
      <c r="C16" s="4">
        <v>0</v>
      </c>
      <c r="D16" s="56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125">
        <v>0</v>
      </c>
      <c r="N16" s="150">
        <v>0</v>
      </c>
      <c r="O16" s="5">
        <f t="shared" ref="O16:O24" si="1">SUM(C16:N16)</f>
        <v>0</v>
      </c>
      <c r="W16" s="34"/>
      <c r="X16" s="34"/>
    </row>
    <row r="17" spans="1:24" x14ac:dyDescent="0.25">
      <c r="A17" s="130"/>
      <c r="B17" s="4" t="s">
        <v>24</v>
      </c>
      <c r="C17" s="73">
        <v>238</v>
      </c>
      <c r="D17" s="73">
        <v>213</v>
      </c>
      <c r="E17" s="73">
        <v>207</v>
      </c>
      <c r="F17" s="73">
        <v>181</v>
      </c>
      <c r="G17" s="73">
        <v>161</v>
      </c>
      <c r="H17" s="73">
        <v>198</v>
      </c>
      <c r="I17" s="4">
        <v>192</v>
      </c>
      <c r="J17" s="4">
        <v>176</v>
      </c>
      <c r="K17" s="4">
        <v>139</v>
      </c>
      <c r="L17" s="4">
        <v>204</v>
      </c>
      <c r="M17" s="125">
        <v>378</v>
      </c>
      <c r="N17" s="150">
        <v>465</v>
      </c>
      <c r="O17" s="5">
        <f t="shared" si="1"/>
        <v>2752</v>
      </c>
      <c r="W17" s="34"/>
      <c r="X17" s="34"/>
    </row>
    <row r="18" spans="1:24" ht="16.5" customHeight="1" x14ac:dyDescent="0.25">
      <c r="A18" s="3">
        <v>8</v>
      </c>
      <c r="B18" s="4" t="s">
        <v>25</v>
      </c>
      <c r="C18" s="73">
        <v>1213</v>
      </c>
      <c r="D18" s="73">
        <v>986</v>
      </c>
      <c r="E18" s="73">
        <v>1082</v>
      </c>
      <c r="F18" s="73">
        <v>964</v>
      </c>
      <c r="G18" s="73">
        <v>1271</v>
      </c>
      <c r="H18" s="73">
        <v>1149</v>
      </c>
      <c r="I18" s="4">
        <v>1090</v>
      </c>
      <c r="J18" s="4">
        <v>1077</v>
      </c>
      <c r="K18" s="4">
        <v>947</v>
      </c>
      <c r="L18" s="4">
        <v>1249</v>
      </c>
      <c r="M18" s="125">
        <v>1264</v>
      </c>
      <c r="N18" s="150">
        <v>1662</v>
      </c>
      <c r="O18" s="5">
        <f t="shared" si="1"/>
        <v>13954</v>
      </c>
      <c r="W18" s="34"/>
      <c r="X18" s="34"/>
    </row>
    <row r="19" spans="1:24" x14ac:dyDescent="0.25">
      <c r="A19" s="9">
        <v>9</v>
      </c>
      <c r="B19" s="10" t="s">
        <v>26</v>
      </c>
      <c r="C19" s="73">
        <v>155</v>
      </c>
      <c r="D19" s="73">
        <v>179</v>
      </c>
      <c r="E19" s="73">
        <v>173</v>
      </c>
      <c r="F19" s="73">
        <v>174</v>
      </c>
      <c r="G19" s="73">
        <v>237</v>
      </c>
      <c r="H19" s="73">
        <v>256</v>
      </c>
      <c r="I19" s="4">
        <v>289</v>
      </c>
      <c r="J19" s="4">
        <v>264</v>
      </c>
      <c r="K19" s="4">
        <v>267</v>
      </c>
      <c r="L19" s="4">
        <v>285</v>
      </c>
      <c r="M19" s="125">
        <v>328</v>
      </c>
      <c r="N19" s="150">
        <v>313</v>
      </c>
      <c r="O19" s="5">
        <f t="shared" si="1"/>
        <v>2920</v>
      </c>
      <c r="W19" s="34"/>
      <c r="X19" s="34"/>
    </row>
    <row r="20" spans="1:24" x14ac:dyDescent="0.25">
      <c r="A20" s="9">
        <v>10</v>
      </c>
      <c r="B20" s="10" t="s">
        <v>27</v>
      </c>
      <c r="C20" s="73">
        <v>66</v>
      </c>
      <c r="D20" s="73">
        <v>44</v>
      </c>
      <c r="E20" s="73">
        <v>30</v>
      </c>
      <c r="F20" s="73">
        <v>42</v>
      </c>
      <c r="G20" s="73">
        <v>43</v>
      </c>
      <c r="H20" s="73">
        <v>32</v>
      </c>
      <c r="I20" s="4">
        <v>39</v>
      </c>
      <c r="J20" s="4">
        <v>39</v>
      </c>
      <c r="K20" s="4">
        <v>20</v>
      </c>
      <c r="L20" s="4">
        <v>16</v>
      </c>
      <c r="M20" s="125">
        <v>26</v>
      </c>
      <c r="N20" s="150">
        <v>22</v>
      </c>
      <c r="O20" s="5">
        <f t="shared" si="1"/>
        <v>419</v>
      </c>
    </row>
    <row r="21" spans="1:24" x14ac:dyDescent="0.25">
      <c r="A21" s="3">
        <v>11</v>
      </c>
      <c r="B21" s="4" t="s">
        <v>28</v>
      </c>
      <c r="C21" s="73">
        <v>161</v>
      </c>
      <c r="D21" s="73">
        <v>99</v>
      </c>
      <c r="E21" s="73">
        <v>163</v>
      </c>
      <c r="F21" s="73">
        <v>120</v>
      </c>
      <c r="G21" s="15">
        <v>1</v>
      </c>
      <c r="H21" s="73">
        <v>0</v>
      </c>
      <c r="I21" s="4">
        <v>1</v>
      </c>
      <c r="J21" s="4">
        <v>0</v>
      </c>
      <c r="K21" s="4">
        <v>0</v>
      </c>
      <c r="L21" s="73">
        <v>33</v>
      </c>
      <c r="M21" s="125">
        <v>106</v>
      </c>
      <c r="N21" s="150">
        <v>102</v>
      </c>
      <c r="O21" s="5">
        <f t="shared" si="1"/>
        <v>786</v>
      </c>
    </row>
    <row r="22" spans="1:24" x14ac:dyDescent="0.25">
      <c r="A22" s="3">
        <v>12</v>
      </c>
      <c r="B22" s="4" t="s">
        <v>29</v>
      </c>
      <c r="C22" s="73">
        <v>1595</v>
      </c>
      <c r="D22" s="73">
        <v>1308</v>
      </c>
      <c r="E22" s="73">
        <v>1448</v>
      </c>
      <c r="F22" s="73">
        <v>1300</v>
      </c>
      <c r="G22" s="73">
        <v>1552</v>
      </c>
      <c r="H22" s="73">
        <v>1437</v>
      </c>
      <c r="I22" s="4">
        <v>1419</v>
      </c>
      <c r="J22" s="4">
        <v>1380</v>
      </c>
      <c r="K22" s="4">
        <v>1234</v>
      </c>
      <c r="L22" s="73"/>
      <c r="M22" s="125">
        <v>1724</v>
      </c>
      <c r="N22" s="150">
        <v>2099</v>
      </c>
      <c r="O22" s="5">
        <f t="shared" si="1"/>
        <v>16496</v>
      </c>
    </row>
    <row r="23" spans="1:24" x14ac:dyDescent="0.25">
      <c r="A23" s="3">
        <v>13</v>
      </c>
      <c r="B23" s="4" t="s">
        <v>30</v>
      </c>
      <c r="C23" s="4"/>
      <c r="D23" s="56"/>
      <c r="E23" s="4"/>
      <c r="F23" s="4"/>
      <c r="G23" s="4"/>
      <c r="H23" s="4"/>
      <c r="I23" s="4"/>
      <c r="J23" s="4"/>
      <c r="K23" s="4"/>
      <c r="L23" s="4"/>
      <c r="M23" s="4"/>
      <c r="N23" s="4"/>
      <c r="O23" s="5">
        <f t="shared" si="1"/>
        <v>0</v>
      </c>
    </row>
    <row r="24" spans="1:24" x14ac:dyDescent="0.25">
      <c r="A24" s="3">
        <v>14</v>
      </c>
      <c r="B24" s="11" t="s">
        <v>31</v>
      </c>
      <c r="C24" s="4">
        <v>246</v>
      </c>
      <c r="D24" s="4">
        <v>256</v>
      </c>
      <c r="E24" s="4">
        <v>284</v>
      </c>
      <c r="F24" s="4">
        <v>237</v>
      </c>
      <c r="G24" s="4">
        <v>315</v>
      </c>
      <c r="H24" s="4">
        <v>246</v>
      </c>
      <c r="I24" s="4">
        <v>207</v>
      </c>
      <c r="J24" s="4">
        <v>222</v>
      </c>
      <c r="K24" s="4">
        <v>187</v>
      </c>
      <c r="L24" s="4">
        <v>213</v>
      </c>
      <c r="M24" s="126">
        <v>238</v>
      </c>
      <c r="N24" s="151">
        <v>283</v>
      </c>
      <c r="O24" s="5">
        <f t="shared" si="1"/>
        <v>2934</v>
      </c>
    </row>
    <row r="25" spans="1:24" x14ac:dyDescent="0.25">
      <c r="A25" s="4">
        <v>15</v>
      </c>
      <c r="B25" s="4" t="s">
        <v>208</v>
      </c>
      <c r="C25" s="4">
        <v>49</v>
      </c>
      <c r="D25" s="4">
        <v>92</v>
      </c>
      <c r="E25" s="4">
        <v>104</v>
      </c>
      <c r="F25" s="4">
        <v>61</v>
      </c>
      <c r="G25" s="4">
        <v>44</v>
      </c>
      <c r="H25" s="4">
        <v>60</v>
      </c>
      <c r="I25" s="4">
        <v>11</v>
      </c>
      <c r="J25" s="4">
        <v>25</v>
      </c>
      <c r="K25" s="4">
        <v>27</v>
      </c>
      <c r="L25" s="4">
        <v>25</v>
      </c>
      <c r="M25" s="126">
        <v>39</v>
      </c>
      <c r="N25" s="151">
        <v>33</v>
      </c>
      <c r="O25" s="22">
        <f>SUM(C25:N25)</f>
        <v>570</v>
      </c>
    </row>
    <row r="26" spans="1:24" s="110" customFormat="1" x14ac:dyDescent="0.25">
      <c r="A26" s="111">
        <v>16</v>
      </c>
      <c r="B26" s="15" t="s">
        <v>230</v>
      </c>
      <c r="C26" s="4">
        <v>101</v>
      </c>
      <c r="D26" s="4">
        <v>70</v>
      </c>
      <c r="E26" s="4">
        <v>50</v>
      </c>
      <c r="F26" s="4">
        <v>52</v>
      </c>
      <c r="G26" s="4">
        <v>164</v>
      </c>
      <c r="H26" s="4">
        <v>85</v>
      </c>
      <c r="I26" s="4">
        <v>87</v>
      </c>
      <c r="J26" s="15">
        <v>67</v>
      </c>
      <c r="K26" s="4">
        <v>51</v>
      </c>
      <c r="L26" s="4">
        <v>101</v>
      </c>
      <c r="M26" s="4">
        <v>271</v>
      </c>
      <c r="N26" s="4">
        <v>362</v>
      </c>
      <c r="O26" s="4">
        <f>SUM(C26:N26)</f>
        <v>1461</v>
      </c>
    </row>
    <row r="27" spans="1:24" x14ac:dyDescent="0.25">
      <c r="B27" s="1" t="s">
        <v>229</v>
      </c>
      <c r="L27" s="117"/>
    </row>
    <row r="28" spans="1:24" x14ac:dyDescent="0.25">
      <c r="L28" s="117"/>
      <c r="T28" s="34"/>
    </row>
    <row r="29" spans="1:24" x14ac:dyDescent="0.25">
      <c r="L29" s="117"/>
      <c r="T29" s="34"/>
    </row>
    <row r="30" spans="1:24" x14ac:dyDescent="0.25">
      <c r="T30" s="34"/>
    </row>
    <row r="31" spans="1:24" x14ac:dyDescent="0.25">
      <c r="O31" s="44"/>
      <c r="T31" s="34"/>
    </row>
    <row r="32" spans="1:24" x14ac:dyDescent="0.25">
      <c r="O32" s="44"/>
      <c r="T32" s="34"/>
    </row>
    <row r="33" spans="15:20" x14ac:dyDescent="0.25">
      <c r="O33" s="44"/>
      <c r="T33" s="34"/>
    </row>
    <row r="34" spans="15:20" x14ac:dyDescent="0.25">
      <c r="T34" s="34"/>
    </row>
    <row r="35" spans="15:20" x14ac:dyDescent="0.25">
      <c r="T35" s="34"/>
    </row>
    <row r="36" spans="15:20" x14ac:dyDescent="0.25">
      <c r="T36" s="34"/>
    </row>
    <row r="37" spans="15:20" x14ac:dyDescent="0.25">
      <c r="T37" s="34"/>
    </row>
    <row r="38" spans="15:20" x14ac:dyDescent="0.25">
      <c r="T38" s="34"/>
    </row>
  </sheetData>
  <mergeCells count="2">
    <mergeCell ref="A5:D5"/>
    <mergeCell ref="A14:A17"/>
  </mergeCells>
  <printOptions horizontalCentered="1"/>
  <pageMargins left="0.7" right="0.7" top="0.5" bottom="0.5" header="0.3" footer="0.3"/>
  <pageSetup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V196"/>
  <sheetViews>
    <sheetView tabSelected="1" zoomScaleNormal="100" workbookViewId="0">
      <pane ySplit="7" topLeftCell="A8" activePane="bottomLeft" state="frozen"/>
      <selection pane="bottomLeft" activeCell="U27" sqref="U27"/>
    </sheetView>
  </sheetViews>
  <sheetFormatPr defaultRowHeight="15" x14ac:dyDescent="0.25"/>
  <cols>
    <col min="1" max="1" width="4.5703125" customWidth="1"/>
    <col min="2" max="2" width="29.5703125" customWidth="1"/>
    <col min="3" max="3" width="11.85546875" style="84" customWidth="1"/>
    <col min="4" max="4" width="10.140625" style="84" customWidth="1"/>
    <col min="5" max="5" width="10.5703125" style="84" customWidth="1"/>
    <col min="6" max="6" width="10.28515625" customWidth="1"/>
    <col min="7" max="7" width="9.28515625" style="84" bestFit="1" customWidth="1"/>
    <col min="8" max="9" width="9.42578125" style="84" bestFit="1" customWidth="1"/>
    <col min="10" max="10" width="9.85546875" customWidth="1"/>
    <col min="11" max="11" width="9.28515625" customWidth="1"/>
    <col min="12" max="12" width="9.7109375" customWidth="1"/>
    <col min="13" max="13" width="10.140625" customWidth="1"/>
    <col min="14" max="14" width="9.5703125" style="84" customWidth="1"/>
    <col min="15" max="15" width="10.28515625" customWidth="1"/>
    <col min="16" max="16" width="11.5703125" style="13" hidden="1" customWidth="1"/>
    <col min="17" max="17" width="9.140625" hidden="1" customWidth="1"/>
    <col min="18" max="18" width="9.5703125" customWidth="1"/>
    <col min="19" max="19" width="10.5703125" customWidth="1"/>
  </cols>
  <sheetData>
    <row r="5" spans="1:22" s="1" customFormat="1" ht="19.899999999999999" customHeight="1" x14ac:dyDescent="0.25">
      <c r="A5" s="131" t="s">
        <v>223</v>
      </c>
      <c r="B5" s="131"/>
      <c r="C5" s="131"/>
      <c r="D5" s="131"/>
      <c r="E5" s="85"/>
      <c r="G5" s="85"/>
      <c r="H5" s="85"/>
      <c r="I5" s="85"/>
      <c r="N5" s="85"/>
      <c r="P5" s="12"/>
    </row>
    <row r="7" spans="1:22" ht="16.149999999999999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2" t="s">
        <v>13</v>
      </c>
      <c r="O7" s="2" t="s">
        <v>14</v>
      </c>
      <c r="Q7" s="109" t="s">
        <v>220</v>
      </c>
    </row>
    <row r="8" spans="1:22" x14ac:dyDescent="0.25">
      <c r="A8" s="3">
        <v>1</v>
      </c>
      <c r="B8" s="4" t="s">
        <v>15</v>
      </c>
      <c r="C8" s="108">
        <v>13083</v>
      </c>
      <c r="D8" s="97">
        <v>10602</v>
      </c>
      <c r="E8" s="4">
        <v>13785</v>
      </c>
      <c r="F8" s="4">
        <v>13510</v>
      </c>
      <c r="G8" s="56">
        <v>17570</v>
      </c>
      <c r="H8" s="56">
        <v>17434</v>
      </c>
      <c r="I8" s="4">
        <v>16351</v>
      </c>
      <c r="J8" s="4">
        <v>16145</v>
      </c>
      <c r="K8" s="4">
        <v>12958</v>
      </c>
      <c r="L8" s="112">
        <v>15652</v>
      </c>
      <c r="M8" s="120">
        <v>14916</v>
      </c>
      <c r="N8" s="144">
        <v>14670</v>
      </c>
      <c r="O8" s="14">
        <v>0</v>
      </c>
      <c r="P8" s="13">
        <f>VLOOKUP(B8,'[2]CMC (2)'!$B$8:$O$182,14,0)-O8</f>
        <v>73367</v>
      </c>
      <c r="Q8" s="106">
        <v>46509</v>
      </c>
    </row>
    <row r="9" spans="1:22" x14ac:dyDescent="0.25">
      <c r="A9" s="3">
        <v>2</v>
      </c>
      <c r="B9" s="6" t="s">
        <v>16</v>
      </c>
      <c r="C9" s="93">
        <v>22</v>
      </c>
      <c r="D9" s="97">
        <v>14</v>
      </c>
      <c r="E9" s="4">
        <v>19</v>
      </c>
      <c r="F9" s="4">
        <v>20</v>
      </c>
      <c r="G9" s="56">
        <v>23</v>
      </c>
      <c r="H9" s="56">
        <v>16</v>
      </c>
      <c r="I9" s="4">
        <v>28</v>
      </c>
      <c r="J9" s="4">
        <v>20</v>
      </c>
      <c r="K9" s="4">
        <v>21</v>
      </c>
      <c r="L9" s="112">
        <v>30</v>
      </c>
      <c r="M9" s="120">
        <v>49</v>
      </c>
      <c r="N9" s="144">
        <v>26</v>
      </c>
      <c r="O9" s="14">
        <f t="shared" ref="O9:O13" si="0">SUM(C9:N9)</f>
        <v>288</v>
      </c>
      <c r="P9" s="13">
        <f>VLOOKUP(B9,'[2]CMC (2)'!$B$8:$O$182,14,0)-O9</f>
        <v>-157</v>
      </c>
      <c r="Q9">
        <v>83</v>
      </c>
    </row>
    <row r="10" spans="1:22" x14ac:dyDescent="0.25">
      <c r="A10" s="3">
        <v>3</v>
      </c>
      <c r="B10" s="6" t="s">
        <v>17</v>
      </c>
      <c r="C10" s="159">
        <v>96</v>
      </c>
      <c r="D10" s="160">
        <v>53</v>
      </c>
      <c r="E10" s="10">
        <v>51</v>
      </c>
      <c r="F10" s="10">
        <v>73</v>
      </c>
      <c r="G10" s="161">
        <v>118</v>
      </c>
      <c r="H10" s="161">
        <v>84</v>
      </c>
      <c r="I10" s="10">
        <v>108</v>
      </c>
      <c r="J10" s="10">
        <v>95</v>
      </c>
      <c r="K10" s="10">
        <v>56</v>
      </c>
      <c r="L10" s="112">
        <v>83</v>
      </c>
      <c r="M10" s="120">
        <v>164</v>
      </c>
      <c r="N10" s="144">
        <v>86</v>
      </c>
      <c r="O10" s="14">
        <f t="shared" si="0"/>
        <v>1067</v>
      </c>
      <c r="P10" s="13">
        <f>VLOOKUP(B10,'[2]CMC (2)'!$B$8:$O$182,14,0)-O10</f>
        <v>-399</v>
      </c>
      <c r="Q10">
        <v>494</v>
      </c>
    </row>
    <row r="11" spans="1:22" x14ac:dyDescent="0.25">
      <c r="A11" s="3">
        <v>4</v>
      </c>
      <c r="B11" s="148" t="s">
        <v>18</v>
      </c>
      <c r="C11" s="56">
        <v>4</v>
      </c>
      <c r="D11" s="4">
        <v>3</v>
      </c>
      <c r="E11" s="4">
        <v>2</v>
      </c>
      <c r="F11" s="4">
        <v>4</v>
      </c>
      <c r="G11" s="56">
        <v>5</v>
      </c>
      <c r="H11" s="56">
        <v>5</v>
      </c>
      <c r="I11" s="4">
        <v>3</v>
      </c>
      <c r="J11" s="4">
        <v>4</v>
      </c>
      <c r="K11" s="4">
        <v>2</v>
      </c>
      <c r="L11" s="4">
        <v>2</v>
      </c>
      <c r="M11" s="4">
        <v>3</v>
      </c>
      <c r="N11" s="4">
        <v>3</v>
      </c>
      <c r="O11" s="157">
        <f t="shared" si="0"/>
        <v>40</v>
      </c>
      <c r="P11" s="13">
        <f>VLOOKUP(B11,'[2]CMC (2)'!$B$8:$O$182,14,0)-O11</f>
        <v>-12</v>
      </c>
      <c r="Q11">
        <v>10</v>
      </c>
    </row>
    <row r="12" spans="1:22" x14ac:dyDescent="0.25">
      <c r="A12" s="3">
        <v>5</v>
      </c>
      <c r="B12" s="97" t="s">
        <v>19</v>
      </c>
      <c r="C12" s="4">
        <v>20898</v>
      </c>
      <c r="D12" s="4">
        <v>18767</v>
      </c>
      <c r="E12" s="4">
        <v>22272</v>
      </c>
      <c r="F12" s="4">
        <v>20581</v>
      </c>
      <c r="G12" s="56">
        <v>24515</v>
      </c>
      <c r="H12" s="56">
        <v>24561</v>
      </c>
      <c r="I12" s="4">
        <v>24812</v>
      </c>
      <c r="J12" s="4">
        <v>24856</v>
      </c>
      <c r="K12" s="4">
        <v>22273</v>
      </c>
      <c r="L12" s="4">
        <v>26229</v>
      </c>
      <c r="M12" s="4">
        <v>24151</v>
      </c>
      <c r="N12" s="4">
        <v>23642</v>
      </c>
      <c r="O12" s="157">
        <f t="shared" si="0"/>
        <v>277557</v>
      </c>
      <c r="P12" s="13">
        <f>VLOOKUP(B12,'[2]CMC (2)'!$B$8:$O$182,14,0)-O12</f>
        <v>-90997</v>
      </c>
      <c r="Q12" s="107">
        <v>66245</v>
      </c>
    </row>
    <row r="13" spans="1:22" x14ac:dyDescent="0.25">
      <c r="A13" s="3">
        <v>6</v>
      </c>
      <c r="B13" s="97" t="s">
        <v>20</v>
      </c>
      <c r="C13" s="56">
        <v>0</v>
      </c>
      <c r="D13" s="56">
        <v>0</v>
      </c>
      <c r="E13" s="4">
        <v>0</v>
      </c>
      <c r="F13" s="4">
        <v>0</v>
      </c>
      <c r="G13" s="56">
        <v>0</v>
      </c>
      <c r="H13" s="56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56">
        <v>0</v>
      </c>
      <c r="O13" s="157">
        <f t="shared" si="0"/>
        <v>0</v>
      </c>
      <c r="P13" s="13">
        <f>VLOOKUP(B13,'[2]CMC (2)'!$B$8:$O$182,14,0)-O13</f>
        <v>136</v>
      </c>
      <c r="Q13">
        <v>136</v>
      </c>
    </row>
    <row r="14" spans="1:22" x14ac:dyDescent="0.25">
      <c r="A14" s="128">
        <v>7</v>
      </c>
      <c r="B14" s="152" t="s">
        <v>21</v>
      </c>
      <c r="C14" s="56"/>
      <c r="D14" s="56"/>
      <c r="E14" s="56"/>
      <c r="F14" s="56"/>
      <c r="G14" s="56"/>
      <c r="H14" s="56"/>
      <c r="I14" s="4"/>
      <c r="J14" s="4"/>
      <c r="K14" s="4"/>
      <c r="L14" s="4"/>
      <c r="M14" s="4"/>
      <c r="N14" s="56"/>
      <c r="O14" s="157"/>
      <c r="P14" s="13" t="e">
        <f>VLOOKUP(B14,'[2]CMC (2)'!$B$8:$O$182,14,0)-O14</f>
        <v>#REF!</v>
      </c>
      <c r="T14" t="s">
        <v>231</v>
      </c>
      <c r="U14" t="s">
        <v>232</v>
      </c>
      <c r="V14" t="s">
        <v>41</v>
      </c>
    </row>
    <row r="15" spans="1:22" x14ac:dyDescent="0.25">
      <c r="A15" s="129"/>
      <c r="B15" s="97" t="s">
        <v>22</v>
      </c>
      <c r="C15" s="4">
        <v>344</v>
      </c>
      <c r="D15" s="56">
        <v>280</v>
      </c>
      <c r="E15" s="4">
        <v>345</v>
      </c>
      <c r="F15" s="56">
        <v>454</v>
      </c>
      <c r="G15" s="56">
        <v>497</v>
      </c>
      <c r="H15" s="56">
        <v>442</v>
      </c>
      <c r="I15" s="4">
        <v>455</v>
      </c>
      <c r="J15" s="4">
        <v>480</v>
      </c>
      <c r="K15" s="4">
        <v>357</v>
      </c>
      <c r="L15" s="4">
        <v>464</v>
      </c>
      <c r="M15" s="4">
        <v>476</v>
      </c>
      <c r="N15" s="4">
        <v>504</v>
      </c>
      <c r="O15" s="157">
        <f t="shared" ref="O15:O21" si="1">SUM(C15:M15)</f>
        <v>4594</v>
      </c>
      <c r="P15" s="13">
        <f>VLOOKUP(B15,'[2]CMC (2)'!$B$8:$O$182,14,0)-O15</f>
        <v>-1526</v>
      </c>
      <c r="Q15">
        <v>422</v>
      </c>
      <c r="T15" s="4">
        <v>437</v>
      </c>
      <c r="U15">
        <v>67</v>
      </c>
      <c r="V15">
        <f>T15+U15</f>
        <v>504</v>
      </c>
    </row>
    <row r="16" spans="1:22" x14ac:dyDescent="0.25">
      <c r="A16" s="129"/>
      <c r="B16" s="97" t="s">
        <v>23</v>
      </c>
      <c r="C16" s="56">
        <v>73</v>
      </c>
      <c r="D16" s="56">
        <v>81</v>
      </c>
      <c r="E16" s="4">
        <v>106</v>
      </c>
      <c r="F16" s="56">
        <v>94</v>
      </c>
      <c r="G16" s="56">
        <v>109</v>
      </c>
      <c r="H16" s="56">
        <v>86</v>
      </c>
      <c r="I16" s="4">
        <v>97</v>
      </c>
      <c r="J16" s="4">
        <v>116</v>
      </c>
      <c r="K16" s="4">
        <v>83</v>
      </c>
      <c r="L16" s="4">
        <v>64</v>
      </c>
      <c r="M16" s="4">
        <v>74</v>
      </c>
      <c r="N16" s="4">
        <v>105</v>
      </c>
      <c r="O16" s="157">
        <f t="shared" si="1"/>
        <v>983</v>
      </c>
      <c r="P16" s="13">
        <f>VLOOKUP(B16,'[2]CMC (2)'!$B$8:$O$182,14,0)-O16</f>
        <v>-234</v>
      </c>
      <c r="Q16">
        <v>103</v>
      </c>
      <c r="T16" s="4">
        <v>93</v>
      </c>
      <c r="U16">
        <v>12</v>
      </c>
      <c r="V16" s="151">
        <f t="shared" ref="V16:V17" si="2">T16+U16</f>
        <v>105</v>
      </c>
    </row>
    <row r="17" spans="1:22" x14ac:dyDescent="0.25">
      <c r="A17" s="129"/>
      <c r="B17" s="97" t="s">
        <v>24</v>
      </c>
      <c r="C17" s="56">
        <v>405</v>
      </c>
      <c r="D17" s="56">
        <v>310</v>
      </c>
      <c r="E17" s="4">
        <v>413</v>
      </c>
      <c r="F17" s="56">
        <v>450</v>
      </c>
      <c r="G17" s="56">
        <v>574</v>
      </c>
      <c r="H17" s="56">
        <v>585</v>
      </c>
      <c r="I17" s="4">
        <v>594</v>
      </c>
      <c r="J17" s="4">
        <v>647</v>
      </c>
      <c r="K17" s="4">
        <v>526</v>
      </c>
      <c r="L17" s="4">
        <v>568</v>
      </c>
      <c r="M17" s="4">
        <v>521</v>
      </c>
      <c r="N17" s="4">
        <v>573</v>
      </c>
      <c r="O17" s="157">
        <f t="shared" si="1"/>
        <v>5593</v>
      </c>
      <c r="P17" s="13">
        <f>VLOOKUP(B17,'[2]CMC (2)'!$B$8:$O$182,14,0)-O17</f>
        <v>-2423</v>
      </c>
      <c r="Q17">
        <v>45</v>
      </c>
      <c r="T17" s="4">
        <v>415</v>
      </c>
      <c r="U17">
        <v>158</v>
      </c>
      <c r="V17" s="151">
        <f t="shared" si="2"/>
        <v>573</v>
      </c>
    </row>
    <row r="18" spans="1:22" x14ac:dyDescent="0.25">
      <c r="A18" s="130"/>
      <c r="B18" s="153" t="s">
        <v>32</v>
      </c>
      <c r="C18" s="56">
        <v>6</v>
      </c>
      <c r="D18" s="56">
        <v>3</v>
      </c>
      <c r="E18" s="4">
        <v>1</v>
      </c>
      <c r="F18" s="56">
        <v>1</v>
      </c>
      <c r="G18" s="56">
        <v>4</v>
      </c>
      <c r="H18" s="56">
        <v>4</v>
      </c>
      <c r="I18" s="4">
        <v>2</v>
      </c>
      <c r="J18" s="4">
        <v>2</v>
      </c>
      <c r="K18" s="4">
        <v>0</v>
      </c>
      <c r="L18" s="4">
        <v>0</v>
      </c>
      <c r="M18" s="4">
        <v>0</v>
      </c>
      <c r="N18" s="4">
        <v>0</v>
      </c>
      <c r="O18" s="157">
        <f t="shared" si="1"/>
        <v>23</v>
      </c>
      <c r="P18" s="13">
        <f>VLOOKUP(B18,'[2]CMC (2)'!$B$8:$O$182,14,0)-O18</f>
        <v>43</v>
      </c>
      <c r="Q18">
        <v>29</v>
      </c>
    </row>
    <row r="19" spans="1:22" x14ac:dyDescent="0.25">
      <c r="A19" s="3">
        <v>8</v>
      </c>
      <c r="B19" s="97" t="s">
        <v>33</v>
      </c>
      <c r="C19" s="4">
        <v>4382</v>
      </c>
      <c r="D19" s="56">
        <v>3697</v>
      </c>
      <c r="E19" s="4">
        <v>4288</v>
      </c>
      <c r="F19" s="56">
        <v>3971</v>
      </c>
      <c r="G19" s="56">
        <v>4722</v>
      </c>
      <c r="H19" s="56">
        <v>4772</v>
      </c>
      <c r="I19" s="4">
        <v>4837</v>
      </c>
      <c r="J19" s="4">
        <v>4937</v>
      </c>
      <c r="K19" s="4">
        <v>4352</v>
      </c>
      <c r="L19" s="4">
        <v>4981</v>
      </c>
      <c r="M19" s="4">
        <v>4705</v>
      </c>
      <c r="N19" s="4">
        <v>4675</v>
      </c>
      <c r="O19" s="157">
        <f t="shared" si="1"/>
        <v>49644</v>
      </c>
      <c r="P19" s="13">
        <f>VLOOKUP(B19,'[2]CMC (2)'!$B$8:$O$182,14,0)-O19</f>
        <v>-10428</v>
      </c>
      <c r="Q19" s="107">
        <v>5211</v>
      </c>
    </row>
    <row r="20" spans="1:22" x14ac:dyDescent="0.25">
      <c r="A20" s="3">
        <v>9</v>
      </c>
      <c r="B20" s="97" t="s">
        <v>34</v>
      </c>
      <c r="C20" s="56">
        <v>0</v>
      </c>
      <c r="D20" s="4">
        <v>0</v>
      </c>
      <c r="E20" s="4">
        <v>0</v>
      </c>
      <c r="F20" s="99">
        <v>0</v>
      </c>
      <c r="G20" s="56">
        <v>0</v>
      </c>
      <c r="H20" s="56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56">
        <v>0</v>
      </c>
      <c r="O20" s="157">
        <f t="shared" si="1"/>
        <v>0</v>
      </c>
    </row>
    <row r="21" spans="1:22" s="44" customFormat="1" x14ac:dyDescent="0.25">
      <c r="A21" s="4">
        <v>10</v>
      </c>
      <c r="B21" s="97" t="s">
        <v>201</v>
      </c>
      <c r="C21" s="4">
        <v>110</v>
      </c>
      <c r="D21" s="56">
        <v>81</v>
      </c>
      <c r="E21" s="4">
        <v>86</v>
      </c>
      <c r="F21" s="56">
        <v>88</v>
      </c>
      <c r="G21" s="56">
        <v>127</v>
      </c>
      <c r="H21" s="56">
        <v>118</v>
      </c>
      <c r="I21" s="4">
        <v>171</v>
      </c>
      <c r="J21" s="4">
        <v>142</v>
      </c>
      <c r="K21" s="4">
        <v>96</v>
      </c>
      <c r="L21" s="4">
        <v>145</v>
      </c>
      <c r="M21" s="4">
        <v>131</v>
      </c>
      <c r="N21" s="4">
        <v>172</v>
      </c>
      <c r="O21" s="157">
        <f t="shared" si="1"/>
        <v>1295</v>
      </c>
      <c r="P21" s="13"/>
    </row>
    <row r="22" spans="1:22" s="44" customFormat="1" x14ac:dyDescent="0.25">
      <c r="A22" s="4">
        <v>11</v>
      </c>
      <c r="B22" s="97" t="s">
        <v>28</v>
      </c>
      <c r="C22" s="56"/>
      <c r="D22" s="56">
        <v>1</v>
      </c>
      <c r="E22" s="56"/>
      <c r="F22" s="56"/>
      <c r="G22" s="56"/>
      <c r="H22" s="56"/>
      <c r="I22" s="4">
        <v>1</v>
      </c>
      <c r="J22" s="56"/>
      <c r="K22" s="56"/>
      <c r="L22" s="56"/>
      <c r="M22" s="56"/>
      <c r="N22" s="56"/>
      <c r="O22" s="157">
        <f>SUM(C22:M22)</f>
        <v>2</v>
      </c>
      <c r="P22" s="13"/>
      <c r="S22" s="44" t="s">
        <v>204</v>
      </c>
    </row>
    <row r="23" spans="1:22" x14ac:dyDescent="0.25">
      <c r="A23" s="4">
        <v>12</v>
      </c>
      <c r="B23" s="97" t="s">
        <v>30</v>
      </c>
      <c r="C23" s="56"/>
      <c r="D23" s="56"/>
      <c r="E23" s="56"/>
      <c r="F23" s="99"/>
      <c r="G23" s="56"/>
      <c r="H23" s="56"/>
      <c r="I23" s="4"/>
      <c r="J23" s="56"/>
      <c r="K23" s="56"/>
      <c r="L23" s="4"/>
      <c r="M23" s="4"/>
      <c r="N23" s="56"/>
      <c r="O23" s="157">
        <f t="shared" ref="O23:O24" si="3">SUM(C23:N23)</f>
        <v>0</v>
      </c>
      <c r="P23" s="13">
        <f>VLOOKUP(B23,'[2]CMC (2)'!$B$8:$O$182,14,0)-O23</f>
        <v>0</v>
      </c>
    </row>
    <row r="24" spans="1:22" x14ac:dyDescent="0.25">
      <c r="A24" s="4">
        <v>13</v>
      </c>
      <c r="B24" s="154" t="s">
        <v>31</v>
      </c>
      <c r="C24" s="56"/>
      <c r="D24" s="56"/>
      <c r="E24" s="56"/>
      <c r="F24" s="56"/>
      <c r="G24" s="56"/>
      <c r="H24" s="56"/>
      <c r="I24" s="56"/>
      <c r="J24" s="56"/>
      <c r="K24" s="56"/>
      <c r="L24" s="4"/>
      <c r="M24" s="4"/>
      <c r="N24" s="56"/>
      <c r="O24" s="157">
        <f t="shared" si="3"/>
        <v>0</v>
      </c>
      <c r="P24" s="13">
        <f>VLOOKUP(B24,'[2]CMC (2)'!$B$8:$O$182,14,0)-O24</f>
        <v>0</v>
      </c>
    </row>
    <row r="25" spans="1:22" x14ac:dyDescent="0.25">
      <c r="A25" s="132"/>
      <c r="B25" s="155" t="s">
        <v>183</v>
      </c>
      <c r="C25" s="56"/>
      <c r="D25" s="83"/>
      <c r="E25" s="83"/>
      <c r="F25" s="83"/>
      <c r="G25" s="83"/>
      <c r="H25" s="83"/>
      <c r="I25" s="83"/>
      <c r="J25" s="56"/>
      <c r="K25" s="56"/>
      <c r="L25" s="49"/>
      <c r="M25" s="49"/>
      <c r="N25" s="4"/>
      <c r="O25" s="157">
        <f t="shared" ref="O25:O31" si="4">SUM(C25:N25)</f>
        <v>0</v>
      </c>
    </row>
    <row r="26" spans="1:22" x14ac:dyDescent="0.25">
      <c r="A26" s="133"/>
      <c r="B26" s="155" t="s">
        <v>184</v>
      </c>
      <c r="C26" s="83">
        <v>3</v>
      </c>
      <c r="D26" s="83">
        <v>3</v>
      </c>
      <c r="E26" s="83">
        <v>3</v>
      </c>
      <c r="F26" s="83">
        <v>1</v>
      </c>
      <c r="G26" s="83">
        <v>2</v>
      </c>
      <c r="H26" s="83">
        <v>4</v>
      </c>
      <c r="I26" s="4">
        <v>6</v>
      </c>
      <c r="J26" s="4">
        <v>5</v>
      </c>
      <c r="K26" s="4">
        <v>3</v>
      </c>
      <c r="L26" s="4">
        <v>5</v>
      </c>
      <c r="M26" s="4">
        <v>6</v>
      </c>
      <c r="N26" s="162">
        <v>2</v>
      </c>
      <c r="O26" s="157">
        <f t="shared" si="4"/>
        <v>43</v>
      </c>
    </row>
    <row r="27" spans="1:22" s="34" customFormat="1" x14ac:dyDescent="0.25">
      <c r="A27" s="133"/>
      <c r="B27" s="155" t="s">
        <v>185</v>
      </c>
      <c r="C27" s="83">
        <v>7</v>
      </c>
      <c r="D27" s="83">
        <v>1</v>
      </c>
      <c r="E27" s="83">
        <v>3</v>
      </c>
      <c r="F27" s="83">
        <v>5</v>
      </c>
      <c r="G27" s="83">
        <v>9</v>
      </c>
      <c r="H27" s="83">
        <v>4</v>
      </c>
      <c r="I27" s="4">
        <v>6</v>
      </c>
      <c r="J27" s="4">
        <v>4</v>
      </c>
      <c r="K27" s="4">
        <v>8</v>
      </c>
      <c r="L27" s="4">
        <v>6</v>
      </c>
      <c r="M27" s="4">
        <v>7</v>
      </c>
      <c r="N27" s="162">
        <v>5</v>
      </c>
      <c r="O27" s="157">
        <f t="shared" si="4"/>
        <v>65</v>
      </c>
      <c r="P27" s="13"/>
    </row>
    <row r="28" spans="1:22" s="34" customFormat="1" x14ac:dyDescent="0.25">
      <c r="A28" s="133"/>
      <c r="B28" s="155" t="s">
        <v>186</v>
      </c>
      <c r="C28" s="83">
        <v>545</v>
      </c>
      <c r="D28" s="83">
        <v>377</v>
      </c>
      <c r="E28" s="83">
        <v>504</v>
      </c>
      <c r="F28" s="83">
        <v>514</v>
      </c>
      <c r="G28" s="83">
        <v>609</v>
      </c>
      <c r="H28" s="83">
        <v>628</v>
      </c>
      <c r="I28" s="4">
        <v>567</v>
      </c>
      <c r="J28" s="4">
        <v>583</v>
      </c>
      <c r="K28" s="4">
        <v>475</v>
      </c>
      <c r="L28" s="4">
        <v>556</v>
      </c>
      <c r="M28" s="4">
        <v>538</v>
      </c>
      <c r="N28" s="162">
        <v>512</v>
      </c>
      <c r="O28" s="157">
        <f>SUM(C28:N28)</f>
        <v>6408</v>
      </c>
      <c r="P28" s="13"/>
    </row>
    <row r="29" spans="1:22" s="34" customFormat="1" x14ac:dyDescent="0.25">
      <c r="A29" s="133"/>
      <c r="B29" s="155" t="s">
        <v>35</v>
      </c>
      <c r="C29" s="83"/>
      <c r="D29" s="83"/>
      <c r="E29" s="83"/>
      <c r="F29" s="83"/>
      <c r="G29" s="83"/>
      <c r="H29" s="83"/>
      <c r="I29" s="4"/>
      <c r="J29" s="4"/>
      <c r="K29" s="4"/>
      <c r="L29" s="83"/>
      <c r="M29" s="83"/>
      <c r="N29" s="4"/>
      <c r="O29" s="157">
        <f t="shared" si="4"/>
        <v>0</v>
      </c>
      <c r="P29" s="13"/>
    </row>
    <row r="30" spans="1:22" s="34" customFormat="1" x14ac:dyDescent="0.25">
      <c r="A30" s="133"/>
      <c r="B30" s="156" t="s">
        <v>36</v>
      </c>
      <c r="C30" s="83"/>
      <c r="D30" s="83"/>
      <c r="E30" s="83"/>
      <c r="F30" s="83"/>
      <c r="G30" s="83"/>
      <c r="H30" s="83"/>
      <c r="I30" s="4"/>
      <c r="J30" s="4"/>
      <c r="K30" s="4"/>
      <c r="L30" s="83"/>
      <c r="M30" s="83"/>
      <c r="N30" s="83"/>
      <c r="O30" s="157">
        <f t="shared" si="4"/>
        <v>0</v>
      </c>
      <c r="P30" s="13"/>
    </row>
    <row r="31" spans="1:22" s="34" customFormat="1" x14ac:dyDescent="0.25">
      <c r="A31" s="133"/>
      <c r="B31" s="155" t="s">
        <v>203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157">
        <f t="shared" si="4"/>
        <v>0</v>
      </c>
      <c r="P31" s="47"/>
    </row>
    <row r="32" spans="1:22" s="34" customFormat="1" x14ac:dyDescent="0.25">
      <c r="A32" s="133"/>
      <c r="B32" s="155" t="s">
        <v>210</v>
      </c>
      <c r="C32" s="83">
        <v>118</v>
      </c>
      <c r="D32" s="83">
        <v>76</v>
      </c>
      <c r="E32" s="83">
        <v>52</v>
      </c>
      <c r="F32" s="83">
        <v>94</v>
      </c>
      <c r="G32" s="83">
        <v>145</v>
      </c>
      <c r="H32" s="83">
        <v>101</v>
      </c>
      <c r="I32" s="4">
        <v>119</v>
      </c>
      <c r="J32" s="4">
        <v>126</v>
      </c>
      <c r="K32" s="4">
        <v>92</v>
      </c>
      <c r="L32" s="4">
        <v>132</v>
      </c>
      <c r="M32" s="4">
        <v>136</v>
      </c>
      <c r="N32" s="4">
        <v>103</v>
      </c>
      <c r="O32" s="158">
        <f>SUM(C32:N32)</f>
        <v>1294</v>
      </c>
      <c r="P32" s="47"/>
    </row>
    <row r="33" spans="1:18" s="34" customFormat="1" x14ac:dyDescent="0.25">
      <c r="A33" s="134"/>
      <c r="B33" s="155" t="s">
        <v>211</v>
      </c>
      <c r="C33" s="83">
        <v>101</v>
      </c>
      <c r="D33" s="83">
        <v>65</v>
      </c>
      <c r="E33" s="83">
        <v>45</v>
      </c>
      <c r="F33" s="83">
        <v>83</v>
      </c>
      <c r="G33" s="83">
        <v>119</v>
      </c>
      <c r="H33" s="83">
        <v>86</v>
      </c>
      <c r="I33" s="4">
        <v>101</v>
      </c>
      <c r="J33" s="4">
        <v>97</v>
      </c>
      <c r="K33" s="4">
        <v>80</v>
      </c>
      <c r="L33" s="4">
        <v>107</v>
      </c>
      <c r="M33" s="4">
        <v>107</v>
      </c>
      <c r="N33" s="4">
        <v>83</v>
      </c>
      <c r="O33" s="158">
        <f>SUM(C33:N33)</f>
        <v>1074</v>
      </c>
      <c r="P33" s="47"/>
    </row>
    <row r="34" spans="1:18" s="110" customFormat="1" x14ac:dyDescent="0.25">
      <c r="A34" s="111">
        <v>14</v>
      </c>
      <c r="B34" s="153" t="s">
        <v>230</v>
      </c>
      <c r="C34" s="4">
        <v>3</v>
      </c>
      <c r="D34" s="4">
        <v>1</v>
      </c>
      <c r="E34" s="4">
        <v>1</v>
      </c>
      <c r="F34" s="4">
        <v>3</v>
      </c>
      <c r="G34" s="4">
        <v>1</v>
      </c>
      <c r="H34" s="4">
        <v>2</v>
      </c>
      <c r="I34" s="4">
        <v>4</v>
      </c>
      <c r="J34" s="15">
        <v>4</v>
      </c>
      <c r="K34" s="4">
        <v>4</v>
      </c>
      <c r="L34" s="4">
        <v>6</v>
      </c>
      <c r="M34" s="4">
        <v>11</v>
      </c>
      <c r="N34" s="4">
        <v>11</v>
      </c>
      <c r="O34" s="42"/>
    </row>
    <row r="35" spans="1:18" s="34" customFormat="1" x14ac:dyDescent="0.25">
      <c r="A35" s="45"/>
      <c r="B35" s="35"/>
      <c r="C35" s="83"/>
      <c r="D35" s="83"/>
      <c r="E35" s="83"/>
      <c r="F35" s="15"/>
      <c r="G35" s="83"/>
      <c r="H35" s="83"/>
      <c r="I35" s="83"/>
      <c r="J35" s="15"/>
      <c r="K35" s="83"/>
      <c r="L35" s="15"/>
      <c r="M35" s="83"/>
      <c r="N35" s="83"/>
      <c r="O35" s="46"/>
      <c r="P35" s="47"/>
    </row>
    <row r="36" spans="1:18" s="34" customFormat="1" x14ac:dyDescent="0.25">
      <c r="A36" s="45"/>
      <c r="B36" s="35"/>
      <c r="C36" s="46"/>
      <c r="D36" s="46"/>
      <c r="E36" s="46"/>
      <c r="F36" s="36"/>
      <c r="G36" s="46"/>
      <c r="H36" s="46"/>
      <c r="I36" s="46"/>
      <c r="J36" s="36"/>
      <c r="K36" s="46"/>
      <c r="L36" s="36"/>
      <c r="M36" s="46"/>
      <c r="N36" s="46"/>
      <c r="O36" s="46"/>
      <c r="P36" s="47"/>
    </row>
    <row r="37" spans="1:18" x14ac:dyDescent="0.25">
      <c r="H37" s="101"/>
      <c r="I37" s="101"/>
      <c r="J37" s="30"/>
      <c r="K37" s="46"/>
      <c r="L37" s="36"/>
      <c r="M37" s="46"/>
      <c r="N37" s="46"/>
      <c r="R37" s="19"/>
    </row>
    <row r="38" spans="1:18" x14ac:dyDescent="0.25">
      <c r="B38" s="20" t="s">
        <v>224</v>
      </c>
      <c r="C38" s="85"/>
      <c r="D38" s="85"/>
      <c r="E38" s="85"/>
      <c r="F38" s="20"/>
      <c r="K38" s="46"/>
      <c r="L38" s="36"/>
      <c r="M38" s="46"/>
      <c r="N38" s="46"/>
    </row>
    <row r="39" spans="1:18" x14ac:dyDescent="0.25">
      <c r="B39" s="21" t="s">
        <v>37</v>
      </c>
      <c r="C39" s="86"/>
      <c r="D39" s="74"/>
      <c r="E39" s="74"/>
      <c r="F39" s="22"/>
      <c r="G39" s="74"/>
      <c r="H39" s="74"/>
      <c r="I39" s="74"/>
      <c r="J39" s="22"/>
      <c r="K39" s="22"/>
      <c r="L39" s="22"/>
      <c r="M39" s="22"/>
      <c r="N39" s="74"/>
    </row>
    <row r="40" spans="1:18" x14ac:dyDescent="0.25">
      <c r="B40" s="16" t="s">
        <v>38</v>
      </c>
      <c r="C40" s="87">
        <v>220</v>
      </c>
      <c r="D40" s="87">
        <v>200</v>
      </c>
      <c r="E40" s="87">
        <v>180</v>
      </c>
      <c r="F40" s="87">
        <v>200</v>
      </c>
      <c r="G40" s="87">
        <v>440</v>
      </c>
      <c r="H40" s="87">
        <v>310</v>
      </c>
      <c r="I40" s="4">
        <v>220</v>
      </c>
      <c r="J40" s="4">
        <v>260</v>
      </c>
      <c r="K40" s="4">
        <v>180</v>
      </c>
      <c r="L40" s="118">
        <v>100</v>
      </c>
      <c r="M40" s="87"/>
      <c r="N40" s="145">
        <v>210</v>
      </c>
    </row>
    <row r="41" spans="1:18" x14ac:dyDescent="0.25">
      <c r="B41" s="23" t="s">
        <v>39</v>
      </c>
      <c r="C41" s="56">
        <v>0</v>
      </c>
      <c r="D41" s="94">
        <v>0</v>
      </c>
      <c r="E41" s="94">
        <v>0</v>
      </c>
      <c r="F41" s="54">
        <v>0</v>
      </c>
      <c r="G41" s="94">
        <v>0</v>
      </c>
      <c r="H41" s="94">
        <v>0</v>
      </c>
      <c r="I41" s="4">
        <v>0</v>
      </c>
      <c r="J41" s="4">
        <v>0</v>
      </c>
      <c r="K41" s="4">
        <v>0</v>
      </c>
      <c r="L41" s="118">
        <v>0</v>
      </c>
      <c r="M41" s="7">
        <v>0</v>
      </c>
      <c r="N41" s="145">
        <v>0</v>
      </c>
    </row>
    <row r="42" spans="1:18" x14ac:dyDescent="0.25">
      <c r="B42" s="16" t="s">
        <v>40</v>
      </c>
      <c r="C42" s="56">
        <v>0</v>
      </c>
      <c r="D42" s="94">
        <v>0</v>
      </c>
      <c r="E42" s="94">
        <v>0</v>
      </c>
      <c r="F42" s="54">
        <v>0</v>
      </c>
      <c r="G42" s="94">
        <v>0</v>
      </c>
      <c r="H42" s="94">
        <v>0</v>
      </c>
      <c r="I42" s="4">
        <v>0</v>
      </c>
      <c r="J42" s="4">
        <v>0</v>
      </c>
      <c r="K42" s="4">
        <v>0</v>
      </c>
      <c r="L42" s="118">
        <v>0</v>
      </c>
      <c r="M42" s="7">
        <v>0</v>
      </c>
      <c r="N42" s="145">
        <v>0</v>
      </c>
    </row>
    <row r="43" spans="1:18" x14ac:dyDescent="0.25">
      <c r="B43" s="16" t="s">
        <v>24</v>
      </c>
      <c r="C43" s="87">
        <v>2.5</v>
      </c>
      <c r="D43" s="87">
        <v>5</v>
      </c>
      <c r="E43" s="87">
        <v>2.5</v>
      </c>
      <c r="F43" s="87">
        <v>2.5</v>
      </c>
      <c r="G43" s="87">
        <v>7.5</v>
      </c>
      <c r="H43" s="87">
        <v>10</v>
      </c>
      <c r="I43" s="4">
        <v>2.5</v>
      </c>
      <c r="J43" s="4">
        <v>2.5</v>
      </c>
      <c r="K43" s="4">
        <v>2.5</v>
      </c>
      <c r="L43" s="118">
        <v>2.5</v>
      </c>
      <c r="M43" s="87"/>
      <c r="N43" s="145">
        <v>10</v>
      </c>
    </row>
    <row r="44" spans="1:18" x14ac:dyDescent="0.25">
      <c r="B44" s="16" t="s">
        <v>22</v>
      </c>
      <c r="C44" s="87">
        <v>247</v>
      </c>
      <c r="D44" s="87">
        <v>108.2</v>
      </c>
      <c r="E44" s="87">
        <v>115.3</v>
      </c>
      <c r="F44" s="87">
        <v>113.1</v>
      </c>
      <c r="G44" s="87">
        <v>233.3</v>
      </c>
      <c r="H44" s="87">
        <v>160.4</v>
      </c>
      <c r="I44" s="4">
        <v>98.8</v>
      </c>
      <c r="J44" s="4">
        <v>152.5</v>
      </c>
      <c r="K44" s="4">
        <v>104.8</v>
      </c>
      <c r="L44" s="118">
        <v>106.3</v>
      </c>
      <c r="M44" s="87"/>
      <c r="N44" s="145">
        <v>130.6</v>
      </c>
    </row>
    <row r="45" spans="1:18" x14ac:dyDescent="0.25">
      <c r="B45" s="24" t="s">
        <v>41</v>
      </c>
      <c r="C45" s="88">
        <f>SUM(C40:C44)</f>
        <v>469.5</v>
      </c>
      <c r="D45" s="28">
        <f>SUM(D40:D44)</f>
        <v>313.2</v>
      </c>
      <c r="E45" s="28">
        <f>SUM(E40:E44)</f>
        <v>297.8</v>
      </c>
      <c r="F45" s="57">
        <f t="shared" ref="F45" si="5">SUM(F40:F44)</f>
        <v>315.60000000000002</v>
      </c>
      <c r="G45" s="28">
        <f>SUM(G40:G44)</f>
        <v>680.8</v>
      </c>
      <c r="H45" s="28">
        <f t="shared" ref="H45:N45" si="6">SUM(H40:H44)</f>
        <v>480.4</v>
      </c>
      <c r="I45" s="28">
        <f t="shared" si="6"/>
        <v>321.3</v>
      </c>
      <c r="J45" s="57">
        <f t="shared" si="6"/>
        <v>415</v>
      </c>
      <c r="K45" s="57">
        <f t="shared" si="6"/>
        <v>287.3</v>
      </c>
      <c r="L45" s="57">
        <f t="shared" si="6"/>
        <v>208.8</v>
      </c>
      <c r="M45" s="57">
        <f t="shared" si="6"/>
        <v>0</v>
      </c>
      <c r="N45" s="28">
        <f t="shared" si="6"/>
        <v>350.6</v>
      </c>
    </row>
    <row r="46" spans="1:18" x14ac:dyDescent="0.25">
      <c r="L46" s="25"/>
      <c r="M46" s="25"/>
      <c r="N46" s="103"/>
    </row>
    <row r="47" spans="1:18" x14ac:dyDescent="0.25">
      <c r="B47" s="20" t="s">
        <v>42</v>
      </c>
      <c r="C47" s="85"/>
      <c r="L47" s="18"/>
      <c r="M47" s="18"/>
      <c r="N47" s="104"/>
    </row>
    <row r="48" spans="1:18" x14ac:dyDescent="0.25">
      <c r="B48" s="21" t="s">
        <v>43</v>
      </c>
      <c r="C48" s="86"/>
      <c r="D48" s="74"/>
      <c r="E48" s="74"/>
      <c r="F48" s="22"/>
      <c r="G48" s="74"/>
      <c r="H48" s="74"/>
      <c r="I48" s="74"/>
      <c r="J48" s="22"/>
      <c r="K48" s="22"/>
      <c r="L48" s="22"/>
      <c r="M48" s="22"/>
      <c r="N48" s="74"/>
    </row>
    <row r="49" spans="2:14" x14ac:dyDescent="0.25">
      <c r="B49" s="4" t="s">
        <v>44</v>
      </c>
      <c r="C49" s="89"/>
      <c r="D49" s="95"/>
      <c r="E49" s="98"/>
      <c r="F49" s="52"/>
      <c r="G49" s="95"/>
      <c r="H49" s="95"/>
      <c r="I49" s="95"/>
      <c r="J49" s="52"/>
      <c r="K49" s="55"/>
      <c r="L49" s="53"/>
      <c r="M49" s="53"/>
      <c r="N49" s="89"/>
    </row>
    <row r="50" spans="2:14" x14ac:dyDescent="0.25">
      <c r="B50" s="4" t="s">
        <v>45</v>
      </c>
      <c r="C50" s="89"/>
      <c r="D50" s="96"/>
      <c r="E50" s="98"/>
      <c r="F50" s="52"/>
      <c r="G50" s="95"/>
      <c r="H50" s="95"/>
      <c r="I50" s="95"/>
      <c r="J50" s="52"/>
      <c r="K50" s="55"/>
      <c r="L50" s="53"/>
      <c r="M50" s="53"/>
      <c r="N50" s="89"/>
    </row>
    <row r="51" spans="2:14" x14ac:dyDescent="0.25">
      <c r="B51" s="4" t="s">
        <v>46</v>
      </c>
      <c r="C51" s="89"/>
      <c r="D51" s="96"/>
      <c r="E51" s="98"/>
      <c r="F51" s="52"/>
      <c r="G51" s="95"/>
      <c r="H51" s="95"/>
      <c r="I51" s="95"/>
      <c r="J51" s="52"/>
      <c r="K51" s="55"/>
      <c r="L51" s="53"/>
      <c r="M51" s="53"/>
      <c r="N51" s="89"/>
    </row>
    <row r="52" spans="2:14" x14ac:dyDescent="0.25">
      <c r="B52" s="4" t="s">
        <v>47</v>
      </c>
      <c r="C52" s="89"/>
      <c r="D52" s="96"/>
      <c r="E52" s="98"/>
      <c r="F52" s="52"/>
      <c r="G52" s="95"/>
      <c r="H52" s="95"/>
      <c r="I52" s="95"/>
      <c r="J52" s="52"/>
      <c r="K52" s="55"/>
      <c r="L52" s="53"/>
      <c r="M52" s="53"/>
      <c r="N52" s="89"/>
    </row>
    <row r="53" spans="2:14" x14ac:dyDescent="0.25">
      <c r="B53" s="4" t="s">
        <v>48</v>
      </c>
      <c r="C53" s="89"/>
      <c r="D53" s="96"/>
      <c r="E53" s="98"/>
      <c r="F53" s="52"/>
      <c r="G53" s="95"/>
      <c r="H53" s="95"/>
      <c r="I53" s="95"/>
      <c r="J53" s="52"/>
      <c r="K53" s="55"/>
      <c r="L53" s="53"/>
      <c r="M53" s="53"/>
      <c r="N53" s="89"/>
    </row>
    <row r="54" spans="2:14" x14ac:dyDescent="0.25">
      <c r="B54" s="4" t="s">
        <v>49</v>
      </c>
      <c r="C54" s="89"/>
      <c r="D54" s="96"/>
      <c r="E54" s="98"/>
      <c r="F54" s="52"/>
      <c r="G54" s="95"/>
      <c r="H54" s="95"/>
      <c r="I54" s="95"/>
      <c r="J54" s="52"/>
      <c r="K54" s="55"/>
      <c r="L54" s="53"/>
      <c r="M54" s="53"/>
      <c r="N54" s="89"/>
    </row>
    <row r="55" spans="2:14" x14ac:dyDescent="0.25">
      <c r="B55" s="4" t="s">
        <v>50</v>
      </c>
      <c r="C55" s="89"/>
      <c r="D55" s="96"/>
      <c r="E55" s="98"/>
      <c r="F55" s="52"/>
      <c r="G55" s="95"/>
      <c r="H55" s="95"/>
      <c r="I55" s="95"/>
      <c r="J55" s="52"/>
      <c r="K55" s="55"/>
      <c r="L55" s="53"/>
      <c r="M55" s="53"/>
      <c r="N55" s="89"/>
    </row>
    <row r="56" spans="2:14" x14ac:dyDescent="0.25">
      <c r="B56" s="4" t="s">
        <v>51</v>
      </c>
      <c r="C56" s="89"/>
      <c r="D56" s="96"/>
      <c r="E56" s="98"/>
      <c r="F56" s="52"/>
      <c r="G56" s="95"/>
      <c r="H56" s="95"/>
      <c r="I56" s="95"/>
      <c r="J56" s="52"/>
      <c r="K56" s="55"/>
      <c r="L56" s="53"/>
      <c r="M56" s="53"/>
      <c r="N56" s="89"/>
    </row>
    <row r="57" spans="2:14" x14ac:dyDescent="0.25">
      <c r="B57" s="4" t="s">
        <v>52</v>
      </c>
      <c r="C57" s="89"/>
      <c r="D57" s="96"/>
      <c r="E57" s="98"/>
      <c r="F57" s="52"/>
      <c r="G57" s="95"/>
      <c r="H57" s="95"/>
      <c r="I57" s="95"/>
      <c r="J57" s="52"/>
      <c r="K57" s="55"/>
      <c r="L57" s="53"/>
      <c r="M57" s="53"/>
      <c r="N57" s="89"/>
    </row>
    <row r="58" spans="2:14" x14ac:dyDescent="0.25">
      <c r="B58" s="4" t="s">
        <v>53</v>
      </c>
      <c r="C58" s="89"/>
      <c r="D58" s="96"/>
      <c r="E58" s="98"/>
      <c r="F58" s="52"/>
      <c r="G58" s="95"/>
      <c r="H58" s="95"/>
      <c r="I58" s="95"/>
      <c r="J58" s="52"/>
      <c r="K58" s="55"/>
      <c r="L58" s="53"/>
      <c r="M58" s="53"/>
      <c r="N58" s="89"/>
    </row>
    <row r="59" spans="2:14" x14ac:dyDescent="0.25">
      <c r="B59" s="4" t="s">
        <v>54</v>
      </c>
      <c r="C59" s="89"/>
      <c r="D59" s="96"/>
      <c r="E59" s="98"/>
      <c r="F59" s="55"/>
      <c r="G59" s="95"/>
      <c r="H59" s="95"/>
      <c r="I59" s="95"/>
      <c r="J59" s="52"/>
      <c r="K59" s="55"/>
      <c r="L59" s="53"/>
      <c r="M59" s="53"/>
      <c r="N59" s="89"/>
    </row>
    <row r="60" spans="2:14" x14ac:dyDescent="0.25">
      <c r="B60" s="4" t="s">
        <v>55</v>
      </c>
      <c r="C60" s="89"/>
      <c r="D60" s="89"/>
      <c r="E60" s="98"/>
      <c r="F60" s="55"/>
      <c r="G60" s="95"/>
      <c r="H60" s="95"/>
      <c r="I60" s="95"/>
      <c r="J60" s="52"/>
      <c r="K60" s="55"/>
      <c r="L60" s="53"/>
      <c r="M60" s="53"/>
      <c r="N60" s="89"/>
    </row>
    <row r="61" spans="2:14" x14ac:dyDescent="0.25">
      <c r="B61" s="4" t="s">
        <v>56</v>
      </c>
      <c r="C61" s="89"/>
      <c r="D61" s="89"/>
      <c r="E61" s="98"/>
      <c r="F61" s="55"/>
      <c r="G61" s="95"/>
      <c r="H61" s="95"/>
      <c r="I61" s="95"/>
      <c r="J61" s="52"/>
      <c r="K61" s="55"/>
      <c r="L61" s="53"/>
      <c r="M61" s="53"/>
      <c r="N61" s="89"/>
    </row>
    <row r="62" spans="2:14" x14ac:dyDescent="0.25">
      <c r="B62" s="4" t="s">
        <v>57</v>
      </c>
      <c r="C62" s="89"/>
      <c r="D62" s="96"/>
      <c r="E62" s="98"/>
      <c r="F62" s="55"/>
      <c r="G62" s="95"/>
      <c r="H62" s="95"/>
      <c r="I62" s="95"/>
      <c r="J62" s="52"/>
      <c r="K62" s="55"/>
      <c r="L62" s="53"/>
      <c r="M62" s="53"/>
      <c r="N62" s="89"/>
    </row>
    <row r="63" spans="2:14" x14ac:dyDescent="0.25">
      <c r="B63" s="4" t="s">
        <v>58</v>
      </c>
      <c r="C63" s="89"/>
      <c r="D63" s="89"/>
      <c r="E63" s="98"/>
      <c r="F63" s="55"/>
      <c r="G63" s="95"/>
      <c r="H63" s="95"/>
      <c r="I63" s="95"/>
      <c r="J63" s="52"/>
      <c r="K63" s="55"/>
      <c r="L63" s="53"/>
      <c r="M63" s="53"/>
      <c r="N63" s="89"/>
    </row>
    <row r="64" spans="2:14" x14ac:dyDescent="0.25">
      <c r="B64" s="4" t="s">
        <v>59</v>
      </c>
      <c r="C64" s="89"/>
      <c r="D64" s="96"/>
      <c r="E64" s="98"/>
      <c r="F64" s="55"/>
      <c r="G64" s="95"/>
      <c r="H64" s="95"/>
      <c r="I64" s="95"/>
      <c r="J64" s="52"/>
      <c r="K64" s="55"/>
      <c r="L64" s="53"/>
      <c r="M64" s="53"/>
      <c r="N64" s="89"/>
    </row>
    <row r="65" spans="2:14" x14ac:dyDescent="0.25">
      <c r="B65" s="4" t="s">
        <v>60</v>
      </c>
      <c r="C65" s="89"/>
      <c r="D65" s="89"/>
      <c r="E65" s="98"/>
      <c r="F65" s="55"/>
      <c r="G65" s="95"/>
      <c r="H65" s="95"/>
      <c r="I65" s="95"/>
      <c r="J65" s="52"/>
      <c r="K65" s="55"/>
      <c r="L65" s="53"/>
      <c r="M65" s="53"/>
      <c r="N65" s="89"/>
    </row>
    <row r="66" spans="2:14" x14ac:dyDescent="0.25">
      <c r="B66" s="4" t="s">
        <v>61</v>
      </c>
      <c r="C66" s="89"/>
      <c r="D66" s="96"/>
      <c r="E66" s="98"/>
      <c r="F66" s="55"/>
      <c r="G66" s="95"/>
      <c r="H66" s="95"/>
      <c r="I66" s="95"/>
      <c r="J66" s="52"/>
      <c r="K66" s="55"/>
      <c r="L66" s="53"/>
      <c r="M66" s="53"/>
      <c r="N66" s="89"/>
    </row>
    <row r="67" spans="2:14" x14ac:dyDescent="0.25">
      <c r="B67" s="4" t="s">
        <v>62</v>
      </c>
      <c r="C67" s="89">
        <v>469.5</v>
      </c>
      <c r="D67" s="89">
        <v>313.2</v>
      </c>
      <c r="E67" s="89">
        <v>297.8</v>
      </c>
      <c r="F67" s="89">
        <v>315.60000000000002</v>
      </c>
      <c r="G67" s="89">
        <v>680.8</v>
      </c>
      <c r="H67" s="89">
        <v>460.4</v>
      </c>
      <c r="I67" s="89">
        <v>321.3</v>
      </c>
      <c r="J67" s="110">
        <v>415</v>
      </c>
      <c r="K67" s="89">
        <v>287.3</v>
      </c>
      <c r="L67" s="113">
        <v>136.5</v>
      </c>
      <c r="M67" s="119">
        <v>208.8</v>
      </c>
      <c r="N67" s="89">
        <v>350</v>
      </c>
    </row>
    <row r="68" spans="2:14" x14ac:dyDescent="0.25">
      <c r="B68" s="4" t="s">
        <v>63</v>
      </c>
      <c r="C68" s="89"/>
      <c r="D68" s="89"/>
      <c r="E68" s="98"/>
      <c r="F68" s="55"/>
      <c r="G68" s="95"/>
      <c r="H68" s="95"/>
      <c r="I68" s="95"/>
      <c r="J68" s="52"/>
      <c r="K68" s="55"/>
      <c r="L68" s="53"/>
      <c r="M68" s="53"/>
      <c r="N68" s="89"/>
    </row>
    <row r="69" spans="2:14" x14ac:dyDescent="0.25">
      <c r="B69" s="4" t="s">
        <v>64</v>
      </c>
      <c r="C69" s="89"/>
      <c r="D69" s="96"/>
      <c r="E69" s="98"/>
      <c r="F69" s="55"/>
      <c r="G69" s="95"/>
      <c r="H69" s="95"/>
      <c r="I69" s="95"/>
      <c r="J69" s="52"/>
      <c r="K69" s="55"/>
      <c r="L69" s="53"/>
      <c r="M69" s="53"/>
      <c r="N69" s="89"/>
    </row>
    <row r="70" spans="2:14" x14ac:dyDescent="0.25">
      <c r="B70" s="4" t="s">
        <v>65</v>
      </c>
      <c r="C70" s="89"/>
      <c r="D70" s="89"/>
      <c r="E70" s="98"/>
      <c r="F70" s="55"/>
      <c r="G70" s="95"/>
      <c r="H70" s="95"/>
      <c r="I70" s="95"/>
      <c r="J70" s="52"/>
      <c r="K70" s="55"/>
      <c r="L70" s="53"/>
      <c r="M70" s="53"/>
      <c r="N70" s="89"/>
    </row>
    <row r="71" spans="2:14" x14ac:dyDescent="0.25">
      <c r="B71" s="4" t="s">
        <v>66</v>
      </c>
      <c r="C71" s="89"/>
      <c r="D71" s="96"/>
      <c r="E71" s="98"/>
      <c r="F71" s="55"/>
      <c r="G71" s="95"/>
      <c r="H71" s="95"/>
      <c r="I71" s="95"/>
      <c r="J71" s="52"/>
      <c r="K71" s="55"/>
      <c r="L71" s="53"/>
      <c r="M71" s="53"/>
      <c r="N71" s="89"/>
    </row>
    <row r="72" spans="2:14" x14ac:dyDescent="0.25">
      <c r="B72" s="4" t="s">
        <v>67</v>
      </c>
      <c r="C72" s="89"/>
      <c r="D72" s="96"/>
      <c r="E72" s="98"/>
      <c r="F72" s="58"/>
      <c r="G72" s="95"/>
      <c r="H72" s="95"/>
      <c r="I72" s="95"/>
      <c r="J72" s="52"/>
      <c r="K72" s="55"/>
      <c r="L72" s="53"/>
      <c r="M72" s="53"/>
      <c r="N72" s="89"/>
    </row>
    <row r="73" spans="2:14" x14ac:dyDescent="0.25">
      <c r="B73" s="4" t="s">
        <v>68</v>
      </c>
      <c r="C73" s="89"/>
      <c r="D73" s="96"/>
      <c r="E73" s="98"/>
      <c r="F73" s="55"/>
      <c r="G73" s="95"/>
      <c r="H73" s="95"/>
      <c r="I73" s="95"/>
      <c r="J73" s="52"/>
      <c r="K73" s="55"/>
      <c r="L73" s="53"/>
      <c r="M73" s="53"/>
      <c r="N73" s="89"/>
    </row>
    <row r="74" spans="2:14" x14ac:dyDescent="0.25">
      <c r="B74" s="4" t="s">
        <v>69</v>
      </c>
      <c r="C74" s="89"/>
      <c r="D74" s="96"/>
      <c r="E74" s="98"/>
      <c r="F74" s="55"/>
      <c r="G74" s="95"/>
      <c r="H74" s="95"/>
      <c r="I74" s="95"/>
      <c r="J74" s="52"/>
      <c r="K74" s="55"/>
      <c r="L74" s="53"/>
      <c r="M74" s="53"/>
      <c r="N74" s="89"/>
    </row>
    <row r="75" spans="2:14" x14ac:dyDescent="0.25">
      <c r="B75" s="4" t="s">
        <v>70</v>
      </c>
      <c r="C75" s="89"/>
      <c r="D75" s="96"/>
      <c r="E75" s="98"/>
      <c r="F75" s="55"/>
      <c r="G75" s="95"/>
      <c r="H75" s="95"/>
      <c r="I75" s="95"/>
      <c r="J75" s="52"/>
      <c r="K75" s="55"/>
      <c r="L75" s="53"/>
      <c r="M75" s="53"/>
      <c r="N75" s="89"/>
    </row>
    <row r="76" spans="2:14" x14ac:dyDescent="0.25">
      <c r="B76" s="4" t="s">
        <v>71</v>
      </c>
      <c r="C76" s="89"/>
      <c r="D76" s="89"/>
      <c r="E76" s="98"/>
      <c r="F76" s="55"/>
      <c r="G76" s="95"/>
      <c r="H76" s="95"/>
      <c r="I76" s="95"/>
      <c r="J76" s="52"/>
      <c r="K76" s="55"/>
      <c r="L76" s="53"/>
      <c r="M76" s="53"/>
      <c r="N76" s="89"/>
    </row>
    <row r="77" spans="2:14" x14ac:dyDescent="0.25">
      <c r="B77" s="4" t="s">
        <v>72</v>
      </c>
      <c r="C77" s="89"/>
      <c r="D77" s="89"/>
      <c r="E77" s="98"/>
      <c r="F77" s="55"/>
      <c r="G77" s="95"/>
      <c r="H77" s="95"/>
      <c r="I77" s="95"/>
      <c r="J77" s="52"/>
      <c r="K77" s="55"/>
      <c r="L77" s="53"/>
      <c r="M77" s="53"/>
      <c r="N77" s="89"/>
    </row>
    <row r="78" spans="2:14" x14ac:dyDescent="0.25">
      <c r="B78" s="4" t="s">
        <v>73</v>
      </c>
      <c r="C78" s="89"/>
      <c r="D78" s="89"/>
      <c r="E78" s="98"/>
      <c r="F78" s="55"/>
      <c r="G78" s="95"/>
      <c r="H78" s="95"/>
      <c r="I78" s="95"/>
      <c r="J78" s="52"/>
      <c r="K78" s="55"/>
      <c r="L78" s="53"/>
      <c r="M78" s="53"/>
      <c r="N78" s="89"/>
    </row>
    <row r="79" spans="2:14" x14ac:dyDescent="0.25">
      <c r="B79" s="4" t="s">
        <v>74</v>
      </c>
      <c r="C79" s="89"/>
      <c r="D79" s="89"/>
      <c r="E79" s="98"/>
      <c r="F79" s="55"/>
      <c r="G79" s="95"/>
      <c r="H79" s="95"/>
      <c r="I79" s="95"/>
      <c r="J79" s="52"/>
      <c r="K79" s="55"/>
      <c r="L79" s="53"/>
      <c r="M79" s="53"/>
      <c r="N79" s="89"/>
    </row>
    <row r="80" spans="2:14" x14ac:dyDescent="0.25">
      <c r="B80" s="4" t="s">
        <v>75</v>
      </c>
      <c r="C80" s="89"/>
      <c r="D80" s="96"/>
      <c r="E80" s="98"/>
      <c r="F80" s="55"/>
      <c r="G80" s="95"/>
      <c r="H80" s="95"/>
      <c r="I80" s="95"/>
      <c r="J80" s="52"/>
      <c r="K80" s="55"/>
      <c r="L80" s="53"/>
      <c r="M80" s="53"/>
      <c r="N80" s="89"/>
    </row>
    <row r="81" spans="2:14" x14ac:dyDescent="0.25">
      <c r="B81" s="4" t="s">
        <v>76</v>
      </c>
      <c r="C81" s="89"/>
      <c r="D81" s="96"/>
      <c r="E81" s="98"/>
      <c r="F81" s="55"/>
      <c r="G81" s="95"/>
      <c r="H81" s="95"/>
      <c r="I81" s="95"/>
      <c r="J81" s="52"/>
      <c r="K81" s="55"/>
      <c r="L81" s="53"/>
      <c r="M81" s="53"/>
      <c r="N81" s="89"/>
    </row>
    <row r="82" spans="2:14" x14ac:dyDescent="0.25">
      <c r="B82" s="4" t="s">
        <v>77</v>
      </c>
      <c r="C82" s="89"/>
      <c r="D82" s="96"/>
      <c r="E82" s="98"/>
      <c r="F82" s="55"/>
      <c r="G82" s="95"/>
      <c r="H82" s="95"/>
      <c r="I82" s="95"/>
      <c r="J82" s="52"/>
      <c r="K82" s="64"/>
      <c r="L82" s="53"/>
      <c r="M82" s="53"/>
      <c r="N82" s="105"/>
    </row>
    <row r="83" spans="2:14" x14ac:dyDescent="0.25">
      <c r="B83" s="4" t="s">
        <v>78</v>
      </c>
      <c r="C83" s="89"/>
      <c r="D83" s="89"/>
      <c r="E83" s="98"/>
      <c r="F83" s="55"/>
      <c r="G83" s="95"/>
      <c r="H83" s="89">
        <v>20</v>
      </c>
      <c r="I83" s="95"/>
      <c r="J83" s="52"/>
      <c r="K83" s="64"/>
      <c r="L83" s="53"/>
      <c r="M83" s="53"/>
      <c r="N83" s="89"/>
    </row>
    <row r="84" spans="2:14" x14ac:dyDescent="0.25">
      <c r="B84" s="4" t="s">
        <v>79</v>
      </c>
      <c r="C84" s="89"/>
      <c r="D84" s="89"/>
      <c r="E84" s="98"/>
      <c r="F84" s="55"/>
      <c r="G84" s="95"/>
      <c r="H84" s="95"/>
      <c r="I84" s="95"/>
      <c r="J84" s="52"/>
      <c r="K84" s="52"/>
      <c r="L84" s="53"/>
      <c r="M84" s="53"/>
      <c r="N84" s="89"/>
    </row>
    <row r="85" spans="2:14" x14ac:dyDescent="0.25">
      <c r="B85" s="4" t="s">
        <v>80</v>
      </c>
      <c r="C85" s="89"/>
      <c r="D85" s="96"/>
      <c r="E85" s="98"/>
      <c r="F85" s="55"/>
      <c r="G85" s="95"/>
      <c r="H85" s="95"/>
      <c r="I85" s="95"/>
      <c r="J85" s="52"/>
      <c r="K85" s="52"/>
      <c r="L85" s="53"/>
      <c r="M85" s="53"/>
      <c r="N85" s="89"/>
    </row>
    <row r="86" spans="2:14" x14ac:dyDescent="0.25">
      <c r="B86" s="4" t="s">
        <v>81</v>
      </c>
      <c r="C86" s="89"/>
      <c r="D86" s="89"/>
      <c r="E86" s="98"/>
      <c r="F86" s="55"/>
      <c r="G86" s="95"/>
      <c r="H86" s="95"/>
      <c r="I86" s="95"/>
      <c r="J86" s="52"/>
      <c r="K86" s="52"/>
      <c r="L86" s="53"/>
      <c r="M86" s="53"/>
      <c r="N86" s="89"/>
    </row>
    <row r="87" spans="2:14" x14ac:dyDescent="0.25">
      <c r="B87" s="4" t="s">
        <v>82</v>
      </c>
      <c r="C87" s="89"/>
      <c r="D87" s="89"/>
      <c r="E87" s="98"/>
      <c r="F87" s="55"/>
      <c r="G87" s="95"/>
      <c r="H87" s="95"/>
      <c r="I87" s="95"/>
      <c r="J87" s="52"/>
      <c r="K87" s="52"/>
      <c r="L87" s="53"/>
      <c r="M87" s="53"/>
      <c r="N87" s="89"/>
    </row>
    <row r="88" spans="2:14" x14ac:dyDescent="0.25">
      <c r="B88" s="4" t="s">
        <v>83</v>
      </c>
      <c r="C88" s="89"/>
      <c r="D88" s="96"/>
      <c r="E88" s="98"/>
      <c r="F88" s="55"/>
      <c r="G88" s="95"/>
      <c r="H88" s="95"/>
      <c r="I88" s="95"/>
      <c r="J88" s="52"/>
      <c r="K88" s="52"/>
      <c r="L88" s="53"/>
      <c r="M88" s="53"/>
      <c r="N88" s="89"/>
    </row>
    <row r="89" spans="2:14" x14ac:dyDescent="0.25">
      <c r="B89" s="4" t="s">
        <v>84</v>
      </c>
      <c r="C89" s="89"/>
      <c r="D89" s="96"/>
      <c r="E89" s="98"/>
      <c r="F89" s="55"/>
      <c r="G89" s="95"/>
      <c r="H89" s="95"/>
      <c r="I89" s="95"/>
      <c r="J89" s="52"/>
      <c r="K89" s="52"/>
      <c r="L89" s="53"/>
      <c r="M89" s="53"/>
      <c r="N89" s="89"/>
    </row>
    <row r="90" spans="2:14" ht="13.9" customHeight="1" x14ac:dyDescent="0.25">
      <c r="B90" s="4" t="s">
        <v>85</v>
      </c>
      <c r="C90" s="89"/>
      <c r="D90" s="96"/>
      <c r="E90" s="98"/>
      <c r="F90" s="55"/>
      <c r="G90" s="95"/>
      <c r="H90" s="95"/>
      <c r="I90" s="95"/>
      <c r="J90" s="52"/>
      <c r="K90" s="52"/>
      <c r="L90" s="53"/>
      <c r="M90" s="53"/>
      <c r="N90" s="89"/>
    </row>
    <row r="91" spans="2:14" x14ac:dyDescent="0.25">
      <c r="B91" s="4" t="s">
        <v>86</v>
      </c>
      <c r="C91" s="89"/>
      <c r="D91" s="96"/>
      <c r="E91" s="98"/>
      <c r="F91" s="55"/>
      <c r="G91" s="95"/>
      <c r="H91" s="95"/>
      <c r="I91" s="95"/>
      <c r="J91" s="52"/>
      <c r="K91" s="52"/>
      <c r="L91" s="53"/>
      <c r="M91" s="53"/>
      <c r="N91" s="89"/>
    </row>
    <row r="92" spans="2:14" x14ac:dyDescent="0.25">
      <c r="B92" s="4" t="s">
        <v>87</v>
      </c>
      <c r="C92" s="89"/>
      <c r="D92" s="96"/>
      <c r="E92" s="98"/>
      <c r="F92" s="55"/>
      <c r="G92" s="95"/>
      <c r="H92" s="95"/>
      <c r="I92" s="95"/>
      <c r="J92" s="52"/>
      <c r="K92" s="52"/>
      <c r="L92" s="53"/>
      <c r="M92" s="53"/>
      <c r="N92" s="89"/>
    </row>
    <row r="93" spans="2:14" x14ac:dyDescent="0.25">
      <c r="B93" s="4" t="s">
        <v>88</v>
      </c>
      <c r="C93" s="89"/>
      <c r="D93" s="96"/>
      <c r="E93" s="98"/>
      <c r="F93" s="55"/>
      <c r="G93" s="95"/>
      <c r="H93" s="95"/>
      <c r="I93" s="95"/>
      <c r="J93" s="52"/>
      <c r="K93" s="52"/>
      <c r="L93" s="53"/>
      <c r="M93" s="53"/>
      <c r="N93" s="89"/>
    </row>
    <row r="94" spans="2:14" x14ac:dyDescent="0.25">
      <c r="B94" s="4" t="s">
        <v>89</v>
      </c>
      <c r="C94" s="89"/>
      <c r="D94" s="96"/>
      <c r="E94" s="98"/>
      <c r="F94" s="55"/>
      <c r="G94" s="95"/>
      <c r="H94" s="95"/>
      <c r="I94" s="95"/>
      <c r="J94" s="52"/>
      <c r="K94" s="52"/>
      <c r="L94" s="53"/>
      <c r="M94" s="53"/>
      <c r="N94" s="89"/>
    </row>
    <row r="95" spans="2:14" x14ac:dyDescent="0.25">
      <c r="B95" s="4" t="s">
        <v>90</v>
      </c>
      <c r="C95" s="89"/>
      <c r="D95" s="96"/>
      <c r="E95" s="98"/>
      <c r="F95" s="55"/>
      <c r="G95" s="95"/>
      <c r="H95" s="95"/>
      <c r="I95" s="95"/>
      <c r="J95" s="52"/>
      <c r="K95" s="52"/>
      <c r="L95" s="53"/>
      <c r="M95" s="53"/>
      <c r="N95" s="89"/>
    </row>
    <row r="96" spans="2:14" x14ac:dyDescent="0.25">
      <c r="B96" s="4" t="s">
        <v>91</v>
      </c>
      <c r="C96" s="89"/>
      <c r="D96" s="96"/>
      <c r="E96" s="98"/>
      <c r="F96" s="55"/>
      <c r="G96" s="95"/>
      <c r="H96" s="95"/>
      <c r="I96" s="95"/>
      <c r="J96" s="52"/>
      <c r="K96" s="52"/>
      <c r="L96" s="53"/>
      <c r="M96" s="53"/>
      <c r="N96" s="89"/>
    </row>
    <row r="97" spans="2:14" x14ac:dyDescent="0.25">
      <c r="B97" s="4" t="s">
        <v>92</v>
      </c>
      <c r="C97" s="89"/>
      <c r="D97" s="96"/>
      <c r="E97" s="98"/>
      <c r="F97" s="55"/>
      <c r="G97" s="95"/>
      <c r="H97" s="95"/>
      <c r="I97" s="95"/>
      <c r="J97" s="52"/>
      <c r="K97" s="52"/>
      <c r="L97" s="53"/>
      <c r="M97" s="53"/>
      <c r="N97" s="89"/>
    </row>
    <row r="98" spans="2:14" x14ac:dyDescent="0.25">
      <c r="B98" s="4" t="s">
        <v>93</v>
      </c>
      <c r="C98" s="89"/>
      <c r="D98" s="96"/>
      <c r="E98" s="98"/>
      <c r="F98" s="55"/>
      <c r="G98" s="95"/>
      <c r="H98" s="95"/>
      <c r="I98" s="95"/>
      <c r="J98" s="52"/>
      <c r="K98" s="52"/>
      <c r="L98" s="53"/>
      <c r="M98" s="53"/>
      <c r="N98" s="89"/>
    </row>
    <row r="99" spans="2:14" x14ac:dyDescent="0.25">
      <c r="B99" s="4" t="s">
        <v>94</v>
      </c>
      <c r="C99" s="89"/>
      <c r="D99" s="96"/>
      <c r="E99" s="98"/>
      <c r="F99" s="55"/>
      <c r="G99" s="95"/>
      <c r="H99" s="95"/>
      <c r="I99" s="95"/>
      <c r="J99" s="52"/>
      <c r="K99" s="52"/>
      <c r="L99" s="53"/>
      <c r="M99" s="53"/>
      <c r="N99" s="89"/>
    </row>
    <row r="100" spans="2:14" x14ac:dyDescent="0.25">
      <c r="B100" s="4" t="s">
        <v>95</v>
      </c>
      <c r="C100" s="89"/>
      <c r="D100" s="96"/>
      <c r="E100" s="98"/>
      <c r="F100" s="55"/>
      <c r="G100" s="95"/>
      <c r="H100" s="95"/>
      <c r="I100" s="95"/>
      <c r="J100" s="52"/>
      <c r="K100" s="52"/>
      <c r="L100" s="53"/>
      <c r="M100" s="53"/>
      <c r="N100" s="89"/>
    </row>
    <row r="101" spans="2:14" x14ac:dyDescent="0.25">
      <c r="B101" s="4" t="s">
        <v>96</v>
      </c>
      <c r="C101" s="89"/>
      <c r="D101" s="96"/>
      <c r="E101" s="98"/>
      <c r="F101" s="55"/>
      <c r="G101" s="95"/>
      <c r="H101" s="95"/>
      <c r="I101" s="95"/>
      <c r="J101" s="52"/>
      <c r="K101" s="52"/>
      <c r="L101" s="53"/>
      <c r="M101" s="53"/>
      <c r="N101" s="89"/>
    </row>
    <row r="102" spans="2:14" x14ac:dyDescent="0.25">
      <c r="B102" s="20" t="s">
        <v>97</v>
      </c>
      <c r="C102" s="89"/>
      <c r="D102" s="96"/>
      <c r="E102" s="98"/>
      <c r="F102" s="55"/>
      <c r="G102" s="95"/>
      <c r="H102" s="95"/>
      <c r="I102" s="95"/>
      <c r="J102" s="52"/>
      <c r="K102" s="52"/>
      <c r="L102" s="53"/>
      <c r="M102" s="53"/>
      <c r="N102" s="89"/>
    </row>
    <row r="103" spans="2:14" x14ac:dyDescent="0.25">
      <c r="B103" s="20" t="s">
        <v>98</v>
      </c>
      <c r="C103" s="89"/>
      <c r="D103" s="96"/>
      <c r="E103" s="98"/>
      <c r="F103" s="55"/>
      <c r="G103" s="95"/>
      <c r="H103" s="95"/>
      <c r="I103" s="95"/>
      <c r="J103" s="52"/>
      <c r="K103" s="52"/>
      <c r="L103" s="53"/>
      <c r="M103" s="53"/>
      <c r="N103" s="89"/>
    </row>
    <row r="104" spans="2:14" x14ac:dyDescent="0.25">
      <c r="B104" s="4" t="s">
        <v>99</v>
      </c>
      <c r="C104" s="89"/>
      <c r="D104" s="96"/>
      <c r="E104" s="98"/>
      <c r="F104" s="55"/>
      <c r="G104" s="95"/>
      <c r="H104" s="95"/>
      <c r="I104" s="95"/>
      <c r="J104" s="52"/>
      <c r="K104" s="52"/>
      <c r="L104" s="53"/>
      <c r="M104" s="53"/>
      <c r="N104" s="89"/>
    </row>
    <row r="105" spans="2:14" x14ac:dyDescent="0.25">
      <c r="B105" s="4" t="s">
        <v>100</v>
      </c>
      <c r="C105" s="89"/>
      <c r="D105" s="96"/>
      <c r="E105" s="98"/>
      <c r="F105" s="55"/>
      <c r="G105" s="95"/>
      <c r="H105" s="95"/>
      <c r="I105" s="95"/>
      <c r="J105" s="52"/>
      <c r="K105" s="62"/>
      <c r="L105" s="57"/>
      <c r="M105" s="57"/>
      <c r="N105" s="89"/>
    </row>
    <row r="106" spans="2:14" x14ac:dyDescent="0.25">
      <c r="B106" s="4" t="s">
        <v>101</v>
      </c>
      <c r="C106" s="89"/>
      <c r="D106" s="96"/>
      <c r="E106" s="98"/>
      <c r="F106" s="55"/>
      <c r="G106" s="95"/>
      <c r="H106" s="95"/>
      <c r="I106" s="95"/>
      <c r="J106" s="52"/>
      <c r="K106" s="62"/>
      <c r="L106" s="57"/>
      <c r="M106" s="57"/>
      <c r="N106" s="89"/>
    </row>
    <row r="107" spans="2:14" x14ac:dyDescent="0.25">
      <c r="B107" s="4" t="s">
        <v>102</v>
      </c>
      <c r="C107" s="89"/>
      <c r="D107" s="96"/>
      <c r="E107" s="98"/>
      <c r="F107" s="55"/>
      <c r="G107" s="95"/>
      <c r="H107" s="95"/>
      <c r="I107" s="95"/>
      <c r="J107" s="52"/>
      <c r="K107" s="62"/>
      <c r="L107" s="57"/>
      <c r="M107" s="57"/>
      <c r="N107" s="89"/>
    </row>
    <row r="108" spans="2:14" x14ac:dyDescent="0.25">
      <c r="B108" s="4" t="s">
        <v>103</v>
      </c>
      <c r="C108" s="89"/>
      <c r="D108" s="96"/>
      <c r="E108" s="98"/>
      <c r="F108" s="55"/>
      <c r="G108" s="95"/>
      <c r="H108" s="95"/>
      <c r="I108" s="95"/>
      <c r="J108" s="52"/>
      <c r="K108" s="62"/>
      <c r="L108" s="57"/>
      <c r="M108" s="57"/>
      <c r="N108" s="89"/>
    </row>
    <row r="109" spans="2:14" x14ac:dyDescent="0.25">
      <c r="B109" s="4" t="s">
        <v>104</v>
      </c>
      <c r="C109" s="89"/>
      <c r="D109" s="96"/>
      <c r="E109" s="98"/>
      <c r="F109" s="55"/>
      <c r="G109" s="95"/>
      <c r="H109" s="95"/>
      <c r="I109" s="95"/>
      <c r="J109" s="52"/>
      <c r="K109" s="62"/>
      <c r="L109" s="57"/>
      <c r="M109" s="57"/>
      <c r="N109" s="89"/>
    </row>
    <row r="110" spans="2:14" x14ac:dyDescent="0.25">
      <c r="B110" s="4" t="s">
        <v>105</v>
      </c>
      <c r="C110" s="89"/>
      <c r="D110" s="96"/>
      <c r="E110" s="98"/>
      <c r="F110" s="55"/>
      <c r="G110" s="95"/>
      <c r="H110" s="95"/>
      <c r="I110" s="95"/>
      <c r="J110" s="52"/>
      <c r="K110" s="62"/>
      <c r="L110" s="57"/>
      <c r="M110" s="57"/>
      <c r="N110" s="89"/>
    </row>
    <row r="111" spans="2:14" x14ac:dyDescent="0.25">
      <c r="B111" s="4" t="s">
        <v>106</v>
      </c>
      <c r="C111" s="89"/>
      <c r="D111" s="96"/>
      <c r="E111" s="98"/>
      <c r="F111" s="55"/>
      <c r="G111" s="95"/>
      <c r="H111" s="95"/>
      <c r="I111" s="95"/>
      <c r="J111" s="52"/>
      <c r="K111" s="62"/>
      <c r="L111" s="57"/>
      <c r="M111" s="57"/>
      <c r="N111" s="89"/>
    </row>
    <row r="112" spans="2:14" x14ac:dyDescent="0.25">
      <c r="B112" s="4" t="s">
        <v>107</v>
      </c>
      <c r="C112" s="89"/>
      <c r="D112" s="96"/>
      <c r="E112" s="98"/>
      <c r="F112" s="55"/>
      <c r="G112" s="95"/>
      <c r="H112" s="95"/>
      <c r="I112" s="95"/>
      <c r="J112" s="52"/>
      <c r="K112" s="62"/>
      <c r="L112" s="57"/>
      <c r="M112" s="57"/>
      <c r="N112" s="89"/>
    </row>
    <row r="113" spans="2:14" x14ac:dyDescent="0.25">
      <c r="B113" s="4" t="s">
        <v>108</v>
      </c>
      <c r="C113" s="89"/>
      <c r="D113" s="96"/>
      <c r="E113" s="98"/>
      <c r="F113" s="55"/>
      <c r="G113" s="95"/>
      <c r="H113" s="95"/>
      <c r="I113" s="95"/>
      <c r="J113" s="52"/>
      <c r="K113" s="62"/>
      <c r="L113" s="57"/>
      <c r="M113" s="57"/>
      <c r="N113" s="89"/>
    </row>
    <row r="114" spans="2:14" x14ac:dyDescent="0.25">
      <c r="B114" s="4" t="s">
        <v>109</v>
      </c>
      <c r="C114" s="89"/>
      <c r="D114" s="96"/>
      <c r="E114" s="98"/>
      <c r="F114" s="55"/>
      <c r="G114" s="95"/>
      <c r="H114" s="95"/>
      <c r="I114" s="95"/>
      <c r="J114" s="52"/>
      <c r="K114" s="62"/>
      <c r="L114" s="57"/>
      <c r="M114" s="57"/>
      <c r="N114" s="89"/>
    </row>
    <row r="115" spans="2:14" x14ac:dyDescent="0.25">
      <c r="B115" s="4" t="s">
        <v>110</v>
      </c>
      <c r="C115" s="89"/>
      <c r="D115" s="96"/>
      <c r="E115" s="98"/>
      <c r="F115" s="55"/>
      <c r="G115" s="95"/>
      <c r="H115" s="95"/>
      <c r="I115" s="95"/>
      <c r="J115" s="52"/>
      <c r="K115" s="62"/>
      <c r="L115" s="57"/>
      <c r="M115" s="57"/>
      <c r="N115" s="89"/>
    </row>
    <row r="116" spans="2:14" x14ac:dyDescent="0.25">
      <c r="B116" s="4" t="s">
        <v>111</v>
      </c>
      <c r="C116" s="89"/>
      <c r="D116" s="96"/>
      <c r="E116" s="98"/>
      <c r="F116" s="55"/>
      <c r="G116" s="95"/>
      <c r="H116" s="95"/>
      <c r="I116" s="95"/>
      <c r="J116" s="52"/>
      <c r="K116" s="62"/>
      <c r="L116" s="57"/>
      <c r="M116" s="57"/>
      <c r="N116" s="89"/>
    </row>
    <row r="117" spans="2:14" x14ac:dyDescent="0.25">
      <c r="B117" s="4" t="s">
        <v>112</v>
      </c>
      <c r="C117" s="89"/>
      <c r="D117" s="96"/>
      <c r="E117" s="98"/>
      <c r="F117" s="55"/>
      <c r="G117" s="95"/>
      <c r="H117" s="95"/>
      <c r="I117" s="95"/>
      <c r="J117" s="52"/>
      <c r="K117" s="62"/>
      <c r="L117" s="57"/>
      <c r="M117" s="57"/>
      <c r="N117" s="89"/>
    </row>
    <row r="118" spans="2:14" x14ac:dyDescent="0.25">
      <c r="B118" s="4" t="s">
        <v>113</v>
      </c>
      <c r="C118" s="89"/>
      <c r="D118" s="96"/>
      <c r="E118" s="98"/>
      <c r="F118" s="55"/>
      <c r="G118" s="95"/>
      <c r="H118" s="95"/>
      <c r="I118" s="95"/>
      <c r="J118" s="52"/>
      <c r="K118" s="62"/>
      <c r="L118" s="57"/>
      <c r="M118" s="57"/>
      <c r="N118" s="89"/>
    </row>
    <row r="119" spans="2:14" x14ac:dyDescent="0.25">
      <c r="B119" s="4" t="s">
        <v>114</v>
      </c>
      <c r="C119" s="89"/>
      <c r="D119" s="96"/>
      <c r="E119" s="98"/>
      <c r="F119" s="55"/>
      <c r="G119" s="95"/>
      <c r="H119" s="95"/>
      <c r="I119" s="95"/>
      <c r="J119" s="52"/>
      <c r="K119" s="62"/>
      <c r="L119" s="57"/>
      <c r="M119" s="57"/>
      <c r="N119" s="89"/>
    </row>
    <row r="120" spans="2:14" x14ac:dyDescent="0.25">
      <c r="B120" s="4" t="s">
        <v>115</v>
      </c>
      <c r="C120" s="89"/>
      <c r="D120" s="96"/>
      <c r="E120" s="98"/>
      <c r="F120" s="55"/>
      <c r="G120" s="95"/>
      <c r="H120" s="95"/>
      <c r="I120" s="95"/>
      <c r="J120" s="52"/>
      <c r="K120" s="62"/>
      <c r="L120" s="57"/>
      <c r="M120" s="57"/>
      <c r="N120" s="89"/>
    </row>
    <row r="121" spans="2:14" x14ac:dyDescent="0.25">
      <c r="B121" s="4" t="s">
        <v>116</v>
      </c>
      <c r="C121" s="89"/>
      <c r="D121" s="96"/>
      <c r="E121" s="98"/>
      <c r="F121" s="55"/>
      <c r="G121" s="95"/>
      <c r="H121" s="95"/>
      <c r="I121" s="95"/>
      <c r="J121" s="52"/>
      <c r="K121" s="62"/>
      <c r="L121" s="57"/>
      <c r="M121" s="57"/>
      <c r="N121" s="89"/>
    </row>
    <row r="122" spans="2:14" x14ac:dyDescent="0.25">
      <c r="B122" s="4" t="s">
        <v>117</v>
      </c>
      <c r="C122" s="89"/>
      <c r="D122" s="96"/>
      <c r="E122" s="98"/>
      <c r="F122" s="55"/>
      <c r="G122" s="95"/>
      <c r="H122" s="95"/>
      <c r="I122" s="95"/>
      <c r="J122" s="52"/>
      <c r="K122" s="62"/>
      <c r="L122" s="57"/>
      <c r="M122" s="57"/>
      <c r="N122" s="89"/>
    </row>
    <row r="123" spans="2:14" x14ac:dyDescent="0.25">
      <c r="B123" s="4" t="s">
        <v>118</v>
      </c>
      <c r="C123" s="89"/>
      <c r="D123" s="96"/>
      <c r="E123" s="98"/>
      <c r="F123" s="55"/>
      <c r="G123" s="95"/>
      <c r="H123" s="95"/>
      <c r="I123" s="95"/>
      <c r="J123" s="52"/>
      <c r="K123" s="62"/>
      <c r="L123" s="57"/>
      <c r="M123" s="57"/>
      <c r="N123" s="89"/>
    </row>
    <row r="124" spans="2:14" x14ac:dyDescent="0.25">
      <c r="B124" s="4" t="s">
        <v>119</v>
      </c>
      <c r="C124" s="89"/>
      <c r="D124" s="96"/>
      <c r="E124" s="98"/>
      <c r="F124" s="55"/>
      <c r="G124" s="95"/>
      <c r="H124" s="95"/>
      <c r="I124" s="95"/>
      <c r="J124" s="52"/>
      <c r="K124" s="62"/>
      <c r="L124" s="57"/>
      <c r="M124" s="57"/>
      <c r="N124" s="89"/>
    </row>
    <row r="125" spans="2:14" x14ac:dyDescent="0.25">
      <c r="B125" s="4" t="s">
        <v>120</v>
      </c>
      <c r="C125" s="89"/>
      <c r="D125" s="96"/>
      <c r="E125" s="98"/>
      <c r="F125" s="55"/>
      <c r="G125" s="95"/>
      <c r="H125" s="95"/>
      <c r="I125" s="95"/>
      <c r="J125" s="52"/>
      <c r="K125" s="62"/>
      <c r="L125" s="57"/>
      <c r="M125" s="57"/>
      <c r="N125" s="89"/>
    </row>
    <row r="126" spans="2:14" x14ac:dyDescent="0.25">
      <c r="B126" s="4" t="s">
        <v>121</v>
      </c>
      <c r="C126" s="89"/>
      <c r="D126" s="96"/>
      <c r="E126" s="98"/>
      <c r="F126" s="55"/>
      <c r="G126" s="95"/>
      <c r="H126" s="95"/>
      <c r="I126" s="95"/>
      <c r="J126" s="52"/>
      <c r="K126" s="62"/>
      <c r="L126" s="57"/>
      <c r="M126" s="57"/>
      <c r="N126" s="89"/>
    </row>
    <row r="127" spans="2:14" x14ac:dyDescent="0.25">
      <c r="B127" s="4" t="s">
        <v>122</v>
      </c>
      <c r="C127" s="89"/>
      <c r="D127" s="96"/>
      <c r="E127" s="98"/>
      <c r="F127" s="55"/>
      <c r="G127" s="95"/>
      <c r="H127" s="95"/>
      <c r="I127" s="95"/>
      <c r="J127" s="52"/>
      <c r="K127" s="62"/>
      <c r="L127" s="57"/>
      <c r="M127" s="57"/>
      <c r="N127" s="89"/>
    </row>
    <row r="128" spans="2:14" x14ac:dyDescent="0.25">
      <c r="B128" s="4" t="s">
        <v>123</v>
      </c>
      <c r="C128" s="89"/>
      <c r="D128" s="96"/>
      <c r="E128" s="98"/>
      <c r="F128" s="55"/>
      <c r="G128" s="95"/>
      <c r="H128" s="95"/>
      <c r="I128" s="95"/>
      <c r="J128" s="52"/>
      <c r="K128" s="62"/>
      <c r="L128" s="57"/>
      <c r="M128" s="57"/>
      <c r="N128" s="89"/>
    </row>
    <row r="129" spans="2:16" x14ac:dyDescent="0.25">
      <c r="B129" s="4" t="s">
        <v>124</v>
      </c>
      <c r="C129" s="89"/>
      <c r="D129" s="96"/>
      <c r="E129" s="98"/>
      <c r="F129" s="55"/>
      <c r="G129" s="95"/>
      <c r="H129" s="95"/>
      <c r="I129" s="95"/>
      <c r="J129" s="52"/>
      <c r="K129" s="62"/>
      <c r="L129" s="57"/>
      <c r="M129" s="57"/>
      <c r="N129" s="89"/>
    </row>
    <row r="130" spans="2:16" x14ac:dyDescent="0.25">
      <c r="B130" s="4" t="s">
        <v>125</v>
      </c>
      <c r="C130" s="89"/>
      <c r="D130" s="96"/>
      <c r="E130" s="98"/>
      <c r="F130" s="55"/>
      <c r="G130" s="95"/>
      <c r="H130" s="95"/>
      <c r="I130" s="95"/>
      <c r="J130" s="52"/>
      <c r="K130" s="62"/>
      <c r="L130" s="57"/>
      <c r="M130" s="57"/>
      <c r="N130" s="89"/>
    </row>
    <row r="131" spans="2:16" x14ac:dyDescent="0.25">
      <c r="B131" s="4" t="s">
        <v>126</v>
      </c>
      <c r="C131" s="89"/>
      <c r="D131" s="96"/>
      <c r="E131" s="98"/>
      <c r="F131" s="55"/>
      <c r="G131" s="95"/>
      <c r="H131" s="95"/>
      <c r="I131" s="95"/>
      <c r="J131" s="52"/>
      <c r="K131" s="62"/>
      <c r="L131" s="57"/>
      <c r="M131" s="57"/>
      <c r="N131" s="89"/>
    </row>
    <row r="132" spans="2:16" x14ac:dyDescent="0.25">
      <c r="B132" s="4" t="s">
        <v>127</v>
      </c>
      <c r="C132" s="89"/>
      <c r="D132" s="96"/>
      <c r="E132" s="98"/>
      <c r="F132" s="55"/>
      <c r="G132" s="95"/>
      <c r="H132" s="95"/>
      <c r="I132" s="95"/>
      <c r="J132" s="52"/>
      <c r="K132" s="62"/>
      <c r="L132" s="57"/>
      <c r="M132" s="57"/>
      <c r="N132" s="89"/>
    </row>
    <row r="133" spans="2:16" x14ac:dyDescent="0.25">
      <c r="B133" s="4" t="s">
        <v>128</v>
      </c>
      <c r="C133" s="89"/>
      <c r="D133" s="96"/>
      <c r="E133" s="98"/>
      <c r="F133" s="55"/>
      <c r="G133" s="95"/>
      <c r="H133" s="95"/>
      <c r="I133" s="95"/>
      <c r="J133" s="52"/>
      <c r="K133" s="62"/>
      <c r="L133" s="57"/>
      <c r="M133" s="57"/>
      <c r="N133" s="89"/>
    </row>
    <row r="134" spans="2:16" x14ac:dyDescent="0.25">
      <c r="B134" s="4" t="s">
        <v>129</v>
      </c>
      <c r="C134" s="89"/>
      <c r="D134" s="96"/>
      <c r="E134" s="98"/>
      <c r="F134" s="55"/>
      <c r="G134" s="95"/>
      <c r="H134" s="95"/>
      <c r="I134" s="95"/>
      <c r="J134" s="52"/>
      <c r="K134" s="62"/>
      <c r="L134" s="57"/>
      <c r="M134" s="57"/>
      <c r="N134" s="89"/>
    </row>
    <row r="135" spans="2:16" x14ac:dyDescent="0.25">
      <c r="B135" s="4" t="s">
        <v>130</v>
      </c>
      <c r="C135" s="89"/>
      <c r="D135" s="96"/>
      <c r="E135" s="98"/>
      <c r="F135" s="55"/>
      <c r="G135" s="95"/>
      <c r="H135" s="95"/>
      <c r="I135" s="95"/>
      <c r="J135" s="52"/>
      <c r="K135" s="62"/>
      <c r="L135" s="57"/>
      <c r="M135" s="57"/>
      <c r="N135" s="89"/>
    </row>
    <row r="136" spans="2:16" x14ac:dyDescent="0.25">
      <c r="B136" s="4" t="s">
        <v>131</v>
      </c>
      <c r="C136" s="89"/>
      <c r="D136" s="96"/>
      <c r="E136" s="98"/>
      <c r="F136" s="55"/>
      <c r="G136" s="95"/>
      <c r="H136" s="95"/>
      <c r="I136" s="95"/>
      <c r="J136" s="52"/>
      <c r="K136" s="62"/>
      <c r="L136" s="57"/>
      <c r="M136" s="57"/>
      <c r="N136" s="89"/>
    </row>
    <row r="137" spans="2:16" x14ac:dyDescent="0.25">
      <c r="B137" s="4" t="s">
        <v>132</v>
      </c>
      <c r="C137" s="89"/>
      <c r="D137" s="96"/>
      <c r="E137" s="98"/>
      <c r="F137" s="55"/>
      <c r="G137" s="95"/>
      <c r="H137" s="95"/>
      <c r="I137" s="95"/>
      <c r="J137" s="52"/>
      <c r="K137" s="62"/>
      <c r="L137" s="57"/>
      <c r="M137" s="57"/>
      <c r="N137" s="89"/>
    </row>
    <row r="138" spans="2:16" x14ac:dyDescent="0.25">
      <c r="B138" s="4" t="s">
        <v>133</v>
      </c>
      <c r="C138" s="89"/>
      <c r="D138" s="96"/>
      <c r="E138" s="98"/>
      <c r="F138" s="55"/>
      <c r="G138" s="95"/>
      <c r="H138" s="95"/>
      <c r="I138" s="95"/>
      <c r="J138" s="52"/>
      <c r="K138" s="62"/>
      <c r="L138" s="57"/>
      <c r="M138" s="57"/>
      <c r="N138" s="89"/>
    </row>
    <row r="139" spans="2:16" x14ac:dyDescent="0.25">
      <c r="B139" s="4" t="s">
        <v>134</v>
      </c>
      <c r="C139" s="89"/>
      <c r="D139" s="96"/>
      <c r="E139" s="98"/>
      <c r="F139" s="55"/>
      <c r="G139" s="95"/>
      <c r="H139" s="95"/>
      <c r="I139" s="95"/>
      <c r="J139" s="62"/>
      <c r="K139" s="59"/>
      <c r="L139" s="57"/>
      <c r="M139" s="57"/>
      <c r="N139" s="89"/>
    </row>
    <row r="140" spans="2:16" x14ac:dyDescent="0.25">
      <c r="B140" s="4" t="s">
        <v>135</v>
      </c>
      <c r="C140" s="89"/>
      <c r="D140" s="96"/>
      <c r="E140" s="98"/>
      <c r="F140" s="55"/>
      <c r="G140" s="95"/>
      <c r="H140" s="95"/>
      <c r="I140" s="95"/>
      <c r="J140" s="62"/>
      <c r="K140" s="59"/>
      <c r="L140" s="57"/>
      <c r="M140" s="57"/>
      <c r="N140" s="89"/>
    </row>
    <row r="141" spans="2:16" x14ac:dyDescent="0.25">
      <c r="B141" s="4" t="s">
        <v>136</v>
      </c>
      <c r="C141" s="89"/>
      <c r="D141" s="96"/>
      <c r="E141" s="98"/>
      <c r="F141" s="55"/>
      <c r="G141" s="95"/>
      <c r="H141" s="95"/>
      <c r="I141" s="95"/>
      <c r="J141" s="52"/>
      <c r="K141" s="62"/>
      <c r="L141" s="57"/>
      <c r="M141" s="57"/>
      <c r="N141" s="89"/>
    </row>
    <row r="142" spans="2:16" x14ac:dyDescent="0.25">
      <c r="B142" s="4" t="s">
        <v>137</v>
      </c>
      <c r="C142" s="89"/>
      <c r="D142" s="96"/>
      <c r="E142" s="95"/>
      <c r="F142" s="52"/>
      <c r="G142" s="95"/>
      <c r="H142" s="95"/>
      <c r="I142" s="95"/>
      <c r="J142" s="52"/>
      <c r="K142" s="65"/>
      <c r="L142" s="52"/>
      <c r="M142" s="52"/>
      <c r="N142" s="95"/>
      <c r="P142" s="26"/>
    </row>
    <row r="143" spans="2:16" x14ac:dyDescent="0.25">
      <c r="B143" s="4" t="s">
        <v>138</v>
      </c>
      <c r="C143" s="89"/>
      <c r="D143" s="95"/>
      <c r="E143" s="95"/>
      <c r="F143" s="52"/>
      <c r="G143" s="95"/>
      <c r="H143" s="95"/>
      <c r="I143" s="95"/>
      <c r="J143" s="52"/>
      <c r="K143" s="65"/>
      <c r="L143" s="52"/>
      <c r="M143" s="52"/>
      <c r="N143" s="95"/>
      <c r="P143" s="26"/>
    </row>
    <row r="144" spans="2:16" x14ac:dyDescent="0.25">
      <c r="B144" s="4" t="s">
        <v>139</v>
      </c>
      <c r="C144" s="89"/>
      <c r="D144" s="95"/>
      <c r="E144" s="95"/>
      <c r="F144" s="52"/>
      <c r="G144" s="95"/>
      <c r="H144" s="95"/>
      <c r="I144" s="95"/>
      <c r="J144" s="52"/>
      <c r="K144" s="65"/>
      <c r="L144" s="52"/>
      <c r="M144" s="52"/>
      <c r="N144" s="95"/>
      <c r="P144" s="26"/>
    </row>
    <row r="145" spans="2:16" x14ac:dyDescent="0.25">
      <c r="B145" s="4" t="s">
        <v>140</v>
      </c>
      <c r="C145" s="89"/>
      <c r="D145" s="95"/>
      <c r="E145" s="95"/>
      <c r="F145" s="52"/>
      <c r="G145" s="95"/>
      <c r="H145" s="95"/>
      <c r="I145" s="95"/>
      <c r="J145" s="52"/>
      <c r="K145" s="65"/>
      <c r="L145" s="52"/>
      <c r="M145" s="52"/>
      <c r="N145" s="95"/>
      <c r="P145" s="26"/>
    </row>
    <row r="146" spans="2:16" x14ac:dyDescent="0.25">
      <c r="B146" s="4" t="s">
        <v>141</v>
      </c>
      <c r="C146" s="89"/>
      <c r="D146" s="95"/>
      <c r="E146" s="95"/>
      <c r="F146" s="52"/>
      <c r="G146" s="95"/>
      <c r="H146" s="95"/>
      <c r="I146" s="95"/>
      <c r="J146" s="52"/>
      <c r="K146" s="65"/>
      <c r="L146" s="52"/>
      <c r="M146" s="52"/>
      <c r="N146" s="95"/>
      <c r="P146" s="26"/>
    </row>
    <row r="147" spans="2:16" x14ac:dyDescent="0.25">
      <c r="B147" s="4" t="s">
        <v>142</v>
      </c>
      <c r="C147" s="89"/>
      <c r="D147" s="95"/>
      <c r="E147" s="95"/>
      <c r="F147" s="52"/>
      <c r="G147" s="95"/>
      <c r="H147" s="95"/>
      <c r="I147" s="95"/>
      <c r="J147" s="52"/>
      <c r="K147" s="65"/>
      <c r="L147" s="52"/>
      <c r="M147" s="52"/>
      <c r="N147" s="95"/>
      <c r="P147" s="26"/>
    </row>
    <row r="148" spans="2:16" x14ac:dyDescent="0.25">
      <c r="B148" s="4" t="s">
        <v>143</v>
      </c>
      <c r="C148" s="89"/>
      <c r="D148" s="95"/>
      <c r="E148" s="95"/>
      <c r="F148" s="52"/>
      <c r="G148" s="95"/>
      <c r="H148" s="95"/>
      <c r="I148" s="95"/>
      <c r="J148" s="52"/>
      <c r="K148" s="65"/>
      <c r="L148" s="52"/>
      <c r="M148" s="52"/>
      <c r="N148" s="95"/>
      <c r="P148" s="26"/>
    </row>
    <row r="149" spans="2:16" x14ac:dyDescent="0.25">
      <c r="B149" s="4" t="s">
        <v>144</v>
      </c>
      <c r="C149" s="89"/>
      <c r="D149" s="95"/>
      <c r="E149" s="98"/>
      <c r="F149" s="55"/>
      <c r="G149" s="95"/>
      <c r="H149" s="95"/>
      <c r="I149" s="95"/>
      <c r="J149" s="52"/>
      <c r="K149" s="62"/>
      <c r="L149" s="57"/>
      <c r="M149" s="57"/>
      <c r="N149" s="89"/>
    </row>
    <row r="150" spans="2:16" x14ac:dyDescent="0.25">
      <c r="B150" s="4" t="s">
        <v>145</v>
      </c>
      <c r="C150" s="89"/>
      <c r="D150" s="96"/>
      <c r="E150" s="98"/>
      <c r="F150" s="55"/>
      <c r="G150" s="95"/>
      <c r="H150" s="95"/>
      <c r="I150" s="95"/>
      <c r="J150" s="52"/>
      <c r="K150" s="62"/>
      <c r="L150" s="57"/>
      <c r="M150" s="57"/>
      <c r="N150" s="89"/>
    </row>
    <row r="151" spans="2:16" x14ac:dyDescent="0.25">
      <c r="B151" s="4" t="s">
        <v>146</v>
      </c>
      <c r="C151" s="89"/>
      <c r="D151" s="96"/>
      <c r="E151" s="98"/>
      <c r="F151" s="55"/>
      <c r="G151" s="95"/>
      <c r="H151" s="95"/>
      <c r="I151" s="95"/>
      <c r="J151" s="52"/>
      <c r="K151" s="62"/>
      <c r="L151" s="57"/>
      <c r="M151" s="57"/>
      <c r="N151" s="89"/>
    </row>
    <row r="152" spans="2:16" x14ac:dyDescent="0.25">
      <c r="B152" s="4" t="s">
        <v>147</v>
      </c>
      <c r="C152" s="89"/>
      <c r="D152" s="96"/>
      <c r="E152" s="98"/>
      <c r="F152" s="55"/>
      <c r="G152" s="95"/>
      <c r="H152" s="95"/>
      <c r="I152" s="95"/>
      <c r="J152" s="52"/>
      <c r="K152" s="62"/>
      <c r="L152" s="57"/>
      <c r="M152" s="57"/>
      <c r="N152" s="89"/>
    </row>
    <row r="153" spans="2:16" x14ac:dyDescent="0.25">
      <c r="B153" s="4" t="s">
        <v>148</v>
      </c>
      <c r="C153" s="89"/>
      <c r="D153" s="96"/>
      <c r="E153" s="98"/>
      <c r="F153" s="55"/>
      <c r="G153" s="95"/>
      <c r="H153" s="95"/>
      <c r="I153" s="95"/>
      <c r="J153" s="52"/>
      <c r="K153" s="62"/>
      <c r="L153" s="57"/>
      <c r="M153" s="57"/>
      <c r="N153" s="89"/>
    </row>
    <row r="154" spans="2:16" x14ac:dyDescent="0.25">
      <c r="B154" s="4" t="s">
        <v>149</v>
      </c>
      <c r="C154" s="89"/>
      <c r="D154" s="96"/>
      <c r="E154" s="98"/>
      <c r="F154" s="55"/>
      <c r="G154" s="95"/>
      <c r="H154" s="95"/>
      <c r="I154" s="95"/>
      <c r="J154" s="52"/>
      <c r="K154" s="62"/>
      <c r="L154" s="57"/>
      <c r="M154" s="57"/>
      <c r="N154" s="89"/>
    </row>
    <row r="155" spans="2:16" x14ac:dyDescent="0.25">
      <c r="B155" s="4" t="s">
        <v>150</v>
      </c>
      <c r="C155" s="89"/>
      <c r="D155" s="96"/>
      <c r="E155" s="98"/>
      <c r="F155" s="55"/>
      <c r="G155" s="95"/>
      <c r="H155" s="95"/>
      <c r="I155" s="95"/>
      <c r="J155" s="52"/>
      <c r="K155" s="62"/>
      <c r="L155" s="57"/>
      <c r="M155" s="57"/>
      <c r="N155" s="89"/>
    </row>
    <row r="156" spans="2:16" x14ac:dyDescent="0.25">
      <c r="B156" s="4" t="s">
        <v>151</v>
      </c>
      <c r="C156" s="89"/>
      <c r="D156" s="96"/>
      <c r="E156" s="98"/>
      <c r="F156" s="55"/>
      <c r="G156" s="95"/>
      <c r="H156" s="95"/>
      <c r="I156" s="95"/>
      <c r="J156" s="52"/>
      <c r="K156" s="62"/>
      <c r="L156" s="57"/>
      <c r="M156" s="57"/>
      <c r="N156" s="89"/>
    </row>
    <row r="157" spans="2:16" x14ac:dyDescent="0.25">
      <c r="B157" s="4" t="s">
        <v>152</v>
      </c>
      <c r="C157" s="89"/>
      <c r="D157" s="96"/>
      <c r="E157" s="98"/>
      <c r="F157" s="55"/>
      <c r="G157" s="95"/>
      <c r="H157" s="95"/>
      <c r="I157" s="95"/>
      <c r="J157" s="52"/>
      <c r="K157" s="62"/>
      <c r="L157" s="57"/>
      <c r="M157" s="57"/>
      <c r="N157" s="89"/>
    </row>
    <row r="158" spans="2:16" x14ac:dyDescent="0.25">
      <c r="B158" s="4" t="s">
        <v>153</v>
      </c>
      <c r="C158" s="89"/>
      <c r="D158" s="96"/>
      <c r="E158" s="98"/>
      <c r="F158" s="55"/>
      <c r="G158" s="95"/>
      <c r="H158" s="95"/>
      <c r="I158" s="95"/>
      <c r="J158" s="52"/>
      <c r="K158" s="62"/>
      <c r="L158" s="57"/>
      <c r="M158" s="57"/>
      <c r="N158" s="89"/>
    </row>
    <row r="159" spans="2:16" x14ac:dyDescent="0.25">
      <c r="B159" s="4" t="s">
        <v>154</v>
      </c>
      <c r="C159" s="89"/>
      <c r="D159" s="96"/>
      <c r="E159" s="98"/>
      <c r="F159" s="55"/>
      <c r="G159" s="95"/>
      <c r="H159" s="95"/>
      <c r="I159" s="95"/>
      <c r="J159" s="52"/>
      <c r="K159" s="62"/>
      <c r="L159" s="57"/>
      <c r="M159" s="57"/>
      <c r="N159" s="89"/>
    </row>
    <row r="160" spans="2:16" x14ac:dyDescent="0.25">
      <c r="B160" s="4" t="s">
        <v>155</v>
      </c>
      <c r="C160" s="89"/>
      <c r="D160" s="96"/>
      <c r="E160" s="98"/>
      <c r="F160" s="55"/>
      <c r="G160" s="95"/>
      <c r="H160" s="95"/>
      <c r="I160" s="95"/>
      <c r="J160" s="52"/>
      <c r="K160" s="62"/>
      <c r="L160" s="57"/>
      <c r="M160" s="57"/>
      <c r="N160" s="89"/>
    </row>
    <row r="161" spans="2:14" x14ac:dyDescent="0.25">
      <c r="B161" s="4" t="s">
        <v>156</v>
      </c>
      <c r="C161" s="89"/>
      <c r="D161" s="96"/>
      <c r="E161" s="98"/>
      <c r="F161" s="55"/>
      <c r="G161" s="95"/>
      <c r="H161" s="95"/>
      <c r="I161" s="95"/>
      <c r="J161" s="52"/>
      <c r="K161" s="62"/>
      <c r="L161" s="57"/>
      <c r="M161" s="57"/>
      <c r="N161" s="89"/>
    </row>
    <row r="162" spans="2:14" x14ac:dyDescent="0.25">
      <c r="B162" s="4" t="s">
        <v>47</v>
      </c>
      <c r="C162" s="89"/>
      <c r="D162" s="96"/>
      <c r="E162" s="98"/>
      <c r="F162" s="55"/>
      <c r="G162" s="95"/>
      <c r="H162" s="95"/>
      <c r="I162" s="95"/>
      <c r="J162" s="52"/>
      <c r="K162" s="62"/>
      <c r="L162" s="57"/>
      <c r="M162" s="57"/>
      <c r="N162" s="89"/>
    </row>
    <row r="163" spans="2:14" x14ac:dyDescent="0.25">
      <c r="B163" s="4" t="s">
        <v>157</v>
      </c>
      <c r="C163" s="89"/>
      <c r="D163" s="96"/>
      <c r="E163" s="98"/>
      <c r="F163" s="55"/>
      <c r="G163" s="95"/>
      <c r="H163" s="95"/>
      <c r="I163" s="95"/>
      <c r="J163" s="52"/>
      <c r="K163" s="62"/>
      <c r="L163" s="57"/>
      <c r="M163" s="57"/>
      <c r="N163" s="89"/>
    </row>
    <row r="164" spans="2:14" x14ac:dyDescent="0.25">
      <c r="B164" s="4" t="s">
        <v>147</v>
      </c>
      <c r="C164" s="89"/>
      <c r="D164" s="96"/>
      <c r="E164" s="98"/>
      <c r="F164" s="55"/>
      <c r="G164" s="95"/>
      <c r="H164" s="95"/>
      <c r="I164" s="95"/>
      <c r="J164" s="52"/>
      <c r="K164" s="62"/>
      <c r="L164" s="57"/>
      <c r="M164" s="57"/>
      <c r="N164" s="89"/>
    </row>
    <row r="165" spans="2:14" x14ac:dyDescent="0.25">
      <c r="B165" s="4" t="s">
        <v>158</v>
      </c>
      <c r="C165" s="89"/>
      <c r="D165" s="96"/>
      <c r="E165" s="98"/>
      <c r="F165" s="59"/>
      <c r="G165" s="95"/>
      <c r="H165" s="95"/>
      <c r="I165" s="95"/>
      <c r="J165" s="52"/>
      <c r="K165" s="62"/>
      <c r="L165" s="57"/>
      <c r="M165" s="57"/>
      <c r="N165" s="89"/>
    </row>
    <row r="166" spans="2:14" x14ac:dyDescent="0.25">
      <c r="B166" s="4" t="s">
        <v>159</v>
      </c>
      <c r="C166" s="89"/>
      <c r="D166" s="96"/>
      <c r="E166" s="98"/>
      <c r="F166" s="55"/>
      <c r="G166" s="95"/>
      <c r="H166" s="95"/>
      <c r="I166" s="95"/>
      <c r="J166" s="52"/>
      <c r="K166" s="62"/>
      <c r="L166" s="57"/>
      <c r="M166" s="57"/>
      <c r="N166" s="89"/>
    </row>
    <row r="167" spans="2:14" x14ac:dyDescent="0.25">
      <c r="B167" s="4" t="s">
        <v>160</v>
      </c>
      <c r="C167" s="89"/>
      <c r="D167" s="96"/>
      <c r="E167" s="98"/>
      <c r="F167" s="55"/>
      <c r="G167" s="95"/>
      <c r="H167" s="95"/>
      <c r="I167" s="95"/>
      <c r="J167" s="52"/>
      <c r="K167" s="62"/>
      <c r="L167" s="57"/>
      <c r="M167" s="57"/>
      <c r="N167" s="89"/>
    </row>
    <row r="168" spans="2:14" ht="13.15" customHeight="1" x14ac:dyDescent="0.25">
      <c r="B168" s="4" t="s">
        <v>161</v>
      </c>
      <c r="C168" s="89"/>
      <c r="D168" s="96"/>
      <c r="E168" s="98"/>
      <c r="F168" s="55"/>
      <c r="G168" s="95"/>
      <c r="H168" s="95"/>
      <c r="I168" s="95"/>
      <c r="J168" s="52"/>
      <c r="K168" s="62"/>
      <c r="L168" s="57"/>
      <c r="M168" s="57"/>
      <c r="N168" s="89"/>
    </row>
    <row r="169" spans="2:14" x14ac:dyDescent="0.25">
      <c r="B169" s="4" t="s">
        <v>162</v>
      </c>
      <c r="C169" s="89"/>
      <c r="D169" s="96"/>
      <c r="E169" s="98"/>
      <c r="F169" s="55"/>
      <c r="G169" s="95"/>
      <c r="H169" s="95"/>
      <c r="I169" s="95"/>
      <c r="J169" s="52"/>
      <c r="K169" s="62"/>
      <c r="L169" s="57"/>
      <c r="M169" s="57"/>
      <c r="N169" s="89"/>
    </row>
    <row r="170" spans="2:14" x14ac:dyDescent="0.25">
      <c r="B170" s="4" t="s">
        <v>163</v>
      </c>
      <c r="C170" s="89"/>
      <c r="D170" s="96"/>
      <c r="E170" s="98"/>
      <c r="F170" s="55"/>
      <c r="G170" s="95"/>
      <c r="H170" s="95"/>
      <c r="I170" s="95"/>
      <c r="J170" s="52"/>
      <c r="K170" s="62"/>
      <c r="L170" s="57"/>
      <c r="M170" s="57"/>
      <c r="N170" s="89"/>
    </row>
    <row r="171" spans="2:14" x14ac:dyDescent="0.25">
      <c r="B171" s="4" t="s">
        <v>164</v>
      </c>
      <c r="C171" s="89"/>
      <c r="D171" s="96"/>
      <c r="E171" s="98"/>
      <c r="F171" s="55"/>
      <c r="G171" s="95"/>
      <c r="H171" s="95"/>
      <c r="I171" s="95"/>
      <c r="J171" s="52"/>
      <c r="K171" s="62"/>
      <c r="L171" s="57"/>
      <c r="M171" s="57"/>
      <c r="N171" s="89"/>
    </row>
    <row r="172" spans="2:14" x14ac:dyDescent="0.25">
      <c r="B172" s="4" t="s">
        <v>165</v>
      </c>
      <c r="C172" s="89"/>
      <c r="D172" s="96"/>
      <c r="E172" s="98"/>
      <c r="F172" s="55"/>
      <c r="G172" s="95"/>
      <c r="H172" s="95"/>
      <c r="I172" s="95"/>
      <c r="J172" s="52"/>
      <c r="K172" s="62"/>
      <c r="L172" s="57"/>
      <c r="M172" s="57"/>
      <c r="N172" s="89"/>
    </row>
    <row r="173" spans="2:14" x14ac:dyDescent="0.25">
      <c r="B173" s="4" t="s">
        <v>166</v>
      </c>
      <c r="C173" s="89"/>
      <c r="D173" s="96"/>
      <c r="E173" s="98"/>
      <c r="F173" s="55"/>
      <c r="G173" s="95"/>
      <c r="H173" s="95"/>
      <c r="I173" s="95"/>
      <c r="J173" s="52"/>
      <c r="K173" s="62"/>
      <c r="L173" s="57"/>
      <c r="M173" s="57"/>
      <c r="N173" s="89"/>
    </row>
    <row r="174" spans="2:14" x14ac:dyDescent="0.25">
      <c r="B174" s="4" t="s">
        <v>167</v>
      </c>
      <c r="C174" s="89"/>
      <c r="D174" s="96"/>
      <c r="E174" s="98"/>
      <c r="F174" s="55"/>
      <c r="G174" s="95"/>
      <c r="H174" s="95"/>
      <c r="I174" s="95"/>
      <c r="J174" s="52"/>
      <c r="K174" s="62"/>
      <c r="L174" s="57"/>
      <c r="M174" s="57"/>
      <c r="N174" s="89"/>
    </row>
    <row r="175" spans="2:14" x14ac:dyDescent="0.25">
      <c r="B175" s="4" t="s">
        <v>168</v>
      </c>
      <c r="C175" s="89"/>
      <c r="D175" s="96"/>
      <c r="E175" s="98"/>
      <c r="F175" s="55"/>
      <c r="G175" s="95"/>
      <c r="H175" s="95"/>
      <c r="I175" s="95"/>
      <c r="J175" s="52"/>
      <c r="K175" s="62"/>
      <c r="L175" s="57"/>
      <c r="M175" s="57"/>
      <c r="N175" s="89"/>
    </row>
    <row r="176" spans="2:14" x14ac:dyDescent="0.25">
      <c r="B176" s="4" t="s">
        <v>169</v>
      </c>
      <c r="C176" s="89"/>
      <c r="D176" s="96"/>
      <c r="E176" s="98"/>
      <c r="F176" s="55"/>
      <c r="G176" s="95"/>
      <c r="H176" s="95"/>
      <c r="I176" s="95"/>
      <c r="J176" s="52"/>
      <c r="K176" s="62"/>
      <c r="L176" s="57"/>
      <c r="M176" s="57"/>
      <c r="N176" s="89"/>
    </row>
    <row r="177" spans="2:17" x14ac:dyDescent="0.25">
      <c r="B177" s="4" t="s">
        <v>170</v>
      </c>
      <c r="C177" s="89"/>
      <c r="D177" s="96"/>
      <c r="E177" s="98"/>
      <c r="F177" s="55"/>
      <c r="G177" s="95"/>
      <c r="H177" s="95"/>
      <c r="I177" s="95"/>
      <c r="J177" s="52"/>
      <c r="K177" s="62"/>
      <c r="L177" s="57"/>
      <c r="M177" s="57"/>
      <c r="N177" s="89"/>
    </row>
    <row r="178" spans="2:17" x14ac:dyDescent="0.25">
      <c r="B178" s="4" t="s">
        <v>171</v>
      </c>
      <c r="C178" s="89"/>
      <c r="D178" s="96"/>
      <c r="E178" s="98"/>
      <c r="F178" s="55"/>
      <c r="G178" s="95"/>
      <c r="H178" s="95"/>
      <c r="I178" s="95"/>
      <c r="J178" s="52"/>
      <c r="K178" s="62"/>
      <c r="L178" s="57"/>
      <c r="M178" s="57"/>
      <c r="N178" s="89"/>
    </row>
    <row r="179" spans="2:17" x14ac:dyDescent="0.25">
      <c r="B179" s="4" t="s">
        <v>172</v>
      </c>
      <c r="C179" s="89"/>
      <c r="D179" s="96"/>
      <c r="E179" s="98"/>
      <c r="F179" s="55"/>
      <c r="G179" s="95"/>
      <c r="H179" s="95"/>
      <c r="I179" s="95"/>
      <c r="J179" s="52"/>
      <c r="K179" s="62"/>
      <c r="L179" s="57"/>
      <c r="M179" s="57"/>
      <c r="N179" s="89"/>
      <c r="Q179" s="17"/>
    </row>
    <row r="180" spans="2:17" x14ac:dyDescent="0.25">
      <c r="B180" s="4" t="s">
        <v>173</v>
      </c>
      <c r="C180" s="89"/>
      <c r="D180" s="96"/>
      <c r="E180" s="98"/>
      <c r="F180" s="55"/>
      <c r="G180" s="95"/>
      <c r="H180" s="95"/>
      <c r="I180" s="95"/>
      <c r="J180" s="52"/>
      <c r="K180" s="62"/>
      <c r="L180" s="57"/>
      <c r="M180" s="57"/>
      <c r="N180" s="89"/>
      <c r="Q180" s="17"/>
    </row>
    <row r="181" spans="2:17" x14ac:dyDescent="0.25">
      <c r="B181" s="4" t="s">
        <v>174</v>
      </c>
      <c r="C181" s="89"/>
      <c r="D181" s="96"/>
      <c r="E181" s="98"/>
      <c r="F181" s="55"/>
      <c r="G181" s="95"/>
      <c r="H181" s="95"/>
      <c r="I181" s="95"/>
      <c r="J181" s="52"/>
      <c r="K181" s="62"/>
      <c r="L181" s="57"/>
      <c r="M181" s="57"/>
      <c r="N181" s="89"/>
      <c r="Q181" s="17"/>
    </row>
    <row r="182" spans="2:17" x14ac:dyDescent="0.25">
      <c r="B182" s="4" t="s">
        <v>175</v>
      </c>
      <c r="C182" s="89"/>
      <c r="D182" s="96"/>
      <c r="E182" s="98"/>
      <c r="F182" s="55"/>
      <c r="G182" s="95"/>
      <c r="H182" s="95"/>
      <c r="I182" s="95"/>
      <c r="J182" s="52"/>
      <c r="K182" s="62"/>
      <c r="L182" s="57"/>
      <c r="M182" s="57"/>
      <c r="N182" s="89"/>
      <c r="Q182" s="17"/>
    </row>
    <row r="183" spans="2:17" x14ac:dyDescent="0.25">
      <c r="B183" s="4" t="s">
        <v>176</v>
      </c>
      <c r="C183" s="89"/>
      <c r="D183" s="96"/>
      <c r="E183" s="98"/>
      <c r="F183" s="55"/>
      <c r="G183" s="95"/>
      <c r="H183" s="95"/>
      <c r="I183" s="95"/>
      <c r="J183" s="52"/>
      <c r="K183" s="62"/>
      <c r="L183" s="57"/>
      <c r="M183" s="57"/>
      <c r="N183" s="89"/>
      <c r="Q183" s="17"/>
    </row>
    <row r="184" spans="2:17" x14ac:dyDescent="0.25">
      <c r="B184" s="4" t="s">
        <v>177</v>
      </c>
      <c r="C184" s="89"/>
      <c r="D184" s="96"/>
      <c r="E184" s="98"/>
      <c r="F184" s="55"/>
      <c r="G184" s="95"/>
      <c r="H184" s="95"/>
      <c r="I184" s="95"/>
      <c r="J184" s="52"/>
      <c r="K184" s="62"/>
      <c r="L184" s="57"/>
      <c r="M184" s="57"/>
      <c r="N184" s="89"/>
      <c r="Q184" s="17"/>
    </row>
    <row r="185" spans="2:17" x14ac:dyDescent="0.25">
      <c r="B185" s="4" t="s">
        <v>178</v>
      </c>
      <c r="C185" s="89"/>
      <c r="D185" s="96"/>
      <c r="E185" s="98"/>
      <c r="F185" s="55"/>
      <c r="G185" s="95"/>
      <c r="H185" s="95"/>
      <c r="I185" s="95"/>
      <c r="J185" s="52"/>
      <c r="K185" s="62"/>
      <c r="L185" s="57"/>
      <c r="M185" s="57"/>
      <c r="N185" s="89"/>
      <c r="Q185" s="17"/>
    </row>
    <row r="186" spans="2:17" x14ac:dyDescent="0.25">
      <c r="B186" s="4" t="s">
        <v>179</v>
      </c>
      <c r="C186" s="89"/>
      <c r="D186" s="96"/>
      <c r="E186" s="98"/>
      <c r="F186" s="55"/>
      <c r="G186" s="95"/>
      <c r="H186" s="95"/>
      <c r="I186" s="95"/>
      <c r="J186" s="52"/>
      <c r="K186" s="62"/>
      <c r="L186" s="57"/>
      <c r="M186" s="57"/>
      <c r="N186" s="89"/>
      <c r="Q186" s="17"/>
    </row>
    <row r="187" spans="2:17" x14ac:dyDescent="0.25">
      <c r="B187" s="4" t="s">
        <v>180</v>
      </c>
      <c r="C187" s="89"/>
      <c r="D187" s="96"/>
      <c r="E187" s="98"/>
      <c r="F187" s="55"/>
      <c r="G187" s="95"/>
      <c r="H187" s="95"/>
      <c r="I187" s="95"/>
      <c r="J187" s="52"/>
      <c r="K187" s="62"/>
      <c r="L187" s="57"/>
      <c r="M187" s="57"/>
      <c r="N187" s="89"/>
      <c r="Q187" s="17"/>
    </row>
    <row r="188" spans="2:17" x14ac:dyDescent="0.25">
      <c r="B188" s="4" t="s">
        <v>181</v>
      </c>
      <c r="C188" s="89"/>
      <c r="D188" s="96"/>
      <c r="E188" s="98"/>
      <c r="F188" s="55"/>
      <c r="G188" s="95"/>
      <c r="H188" s="95"/>
      <c r="I188" s="95"/>
      <c r="J188" s="52"/>
      <c r="K188" s="62"/>
      <c r="L188" s="57"/>
      <c r="M188" s="57"/>
      <c r="N188" s="89"/>
      <c r="Q188" s="17"/>
    </row>
    <row r="189" spans="2:17" s="63" customFormat="1" x14ac:dyDescent="0.25">
      <c r="B189" s="4" t="s">
        <v>207</v>
      </c>
      <c r="C189" s="89"/>
      <c r="D189" s="96"/>
      <c r="E189" s="98"/>
      <c r="F189" s="55"/>
      <c r="G189" s="95"/>
      <c r="H189" s="95"/>
      <c r="I189" s="95"/>
      <c r="J189" s="52"/>
      <c r="K189" s="62"/>
      <c r="L189" s="57"/>
      <c r="M189" s="57"/>
      <c r="N189" s="89"/>
      <c r="P189" s="13"/>
      <c r="Q189" s="17"/>
    </row>
    <row r="190" spans="2:17" s="61" customFormat="1" x14ac:dyDescent="0.25">
      <c r="B190" s="4" t="s">
        <v>205</v>
      </c>
      <c r="C190" s="89"/>
      <c r="D190" s="96"/>
      <c r="E190" s="98"/>
      <c r="F190" s="75"/>
      <c r="G190" s="100"/>
      <c r="H190" s="100"/>
      <c r="I190" s="100"/>
      <c r="J190" s="76"/>
      <c r="K190" s="77"/>
      <c r="L190" s="57"/>
      <c r="M190" s="57"/>
      <c r="N190" s="89"/>
      <c r="P190" s="13"/>
      <c r="Q190" s="17"/>
    </row>
    <row r="191" spans="2:17" x14ac:dyDescent="0.25">
      <c r="B191" s="7" t="s">
        <v>14</v>
      </c>
      <c r="C191" s="28">
        <f>SUM(C49:C190)</f>
        <v>469.5</v>
      </c>
      <c r="D191" s="28">
        <f t="shared" ref="D191:K191" si="7">SUM(D49:D190)</f>
        <v>313.2</v>
      </c>
      <c r="E191" s="28">
        <f t="shared" si="7"/>
        <v>297.8</v>
      </c>
      <c r="F191" s="27">
        <f t="shared" si="7"/>
        <v>315.60000000000002</v>
      </c>
      <c r="G191" s="28">
        <f t="shared" si="7"/>
        <v>680.8</v>
      </c>
      <c r="H191" s="28">
        <f t="shared" si="7"/>
        <v>480.4</v>
      </c>
      <c r="I191" s="28">
        <f t="shared" si="7"/>
        <v>321.3</v>
      </c>
      <c r="J191" s="27">
        <f t="shared" si="7"/>
        <v>415</v>
      </c>
      <c r="K191" s="27">
        <f t="shared" si="7"/>
        <v>287.3</v>
      </c>
      <c r="L191" s="28">
        <f t="shared" ref="L191:N191" si="8">SUM(L49:L188)</f>
        <v>136.5</v>
      </c>
      <c r="M191" s="28">
        <f t="shared" si="8"/>
        <v>208.8</v>
      </c>
      <c r="N191" s="28">
        <f t="shared" si="8"/>
        <v>350</v>
      </c>
      <c r="O191" s="29">
        <f>SUM(O49:O180)</f>
        <v>0</v>
      </c>
    </row>
    <row r="192" spans="2:17" x14ac:dyDescent="0.25">
      <c r="B192" s="30"/>
    </row>
    <row r="193" spans="2:12" x14ac:dyDescent="0.25">
      <c r="B193" s="30"/>
    </row>
    <row r="194" spans="2:12" x14ac:dyDescent="0.25">
      <c r="B194" s="30"/>
    </row>
    <row r="195" spans="2:12" x14ac:dyDescent="0.25">
      <c r="B195" s="30"/>
    </row>
    <row r="196" spans="2:12" x14ac:dyDescent="0.25">
      <c r="B196" s="1" t="s">
        <v>182</v>
      </c>
      <c r="L196" s="31"/>
    </row>
  </sheetData>
  <autoFilter ref="B47:O191" xr:uid="{00000000-0009-0000-0000-000001000000}"/>
  <mergeCells count="3">
    <mergeCell ref="A5:D5"/>
    <mergeCell ref="A14:A18"/>
    <mergeCell ref="A25:A33"/>
  </mergeCells>
  <printOptions horizontalCentered="1"/>
  <pageMargins left="0.7" right="0.7" top="0.5" bottom="0.5" header="0.3" footer="0.3"/>
  <pageSetup orientation="landscape" verticalDpi="20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S72"/>
  <sheetViews>
    <sheetView zoomScaleNormal="100" workbookViewId="0">
      <selection activeCell="R38" sqref="R38"/>
    </sheetView>
  </sheetViews>
  <sheetFormatPr defaultColWidth="9.140625" defaultRowHeight="15" x14ac:dyDescent="0.25"/>
  <cols>
    <col min="1" max="1" width="8.5703125" bestFit="1" customWidth="1"/>
    <col min="2" max="2" width="25.28515625" customWidth="1"/>
    <col min="3" max="3" width="6.7109375" customWidth="1"/>
    <col min="4" max="4" width="6.7109375" style="33" customWidth="1"/>
    <col min="5" max="13" width="6.7109375" customWidth="1"/>
    <col min="14" max="14" width="7.42578125" customWidth="1"/>
    <col min="15" max="15" width="8.140625" customWidth="1"/>
  </cols>
  <sheetData>
    <row r="5" spans="1:19" s="1" customFormat="1" ht="19.899999999999999" customHeight="1" x14ac:dyDescent="0.3">
      <c r="A5" s="127" t="s">
        <v>222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</row>
    <row r="7" spans="1:19" ht="16.149999999999999" customHeight="1" x14ac:dyDescent="0.25">
      <c r="A7" s="32" t="s">
        <v>0</v>
      </c>
      <c r="B7" s="32" t="s">
        <v>1</v>
      </c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32" t="s">
        <v>8</v>
      </c>
      <c r="J7" s="32" t="s">
        <v>9</v>
      </c>
      <c r="K7" s="32" t="s">
        <v>10</v>
      </c>
      <c r="L7" s="32" t="s">
        <v>11</v>
      </c>
      <c r="M7" s="32" t="s">
        <v>12</v>
      </c>
      <c r="N7" s="32" t="s">
        <v>13</v>
      </c>
      <c r="O7" s="2" t="s">
        <v>14</v>
      </c>
    </row>
    <row r="8" spans="1:19" x14ac:dyDescent="0.25">
      <c r="A8" s="3">
        <v>1</v>
      </c>
      <c r="B8" s="4" t="s">
        <v>15</v>
      </c>
      <c r="C8" s="4">
        <v>3563</v>
      </c>
      <c r="D8" s="4">
        <v>2479</v>
      </c>
      <c r="E8" s="4">
        <v>3672</v>
      </c>
      <c r="F8" s="4">
        <v>2898</v>
      </c>
      <c r="G8" s="4">
        <v>3573</v>
      </c>
      <c r="H8" s="4">
        <v>3966</v>
      </c>
      <c r="I8" s="4">
        <v>3604</v>
      </c>
      <c r="J8" s="4">
        <v>3467</v>
      </c>
      <c r="K8" s="4">
        <v>2940</v>
      </c>
      <c r="L8" s="114">
        <v>4202</v>
      </c>
      <c r="M8" s="121">
        <v>3371</v>
      </c>
      <c r="N8" s="146">
        <v>3747</v>
      </c>
      <c r="O8" s="5">
        <f>SUM(C8:N8)</f>
        <v>41482</v>
      </c>
    </row>
    <row r="9" spans="1:19" x14ac:dyDescent="0.25">
      <c r="A9" s="3">
        <v>2</v>
      </c>
      <c r="B9" s="6" t="s">
        <v>16</v>
      </c>
      <c r="C9" s="4">
        <v>12</v>
      </c>
      <c r="D9" s="4">
        <v>11</v>
      </c>
      <c r="E9" s="4">
        <v>16</v>
      </c>
      <c r="F9" s="4">
        <v>19</v>
      </c>
      <c r="G9" s="4">
        <v>21</v>
      </c>
      <c r="H9" s="4">
        <v>17</v>
      </c>
      <c r="I9" s="4">
        <v>32</v>
      </c>
      <c r="J9" s="4">
        <v>29</v>
      </c>
      <c r="K9" s="4">
        <v>23</v>
      </c>
      <c r="L9" s="114">
        <v>28</v>
      </c>
      <c r="M9" s="121">
        <v>28</v>
      </c>
      <c r="N9" s="146">
        <v>17</v>
      </c>
      <c r="O9" s="5">
        <f t="shared" ref="O9:O22" si="0">SUM(C9:N9)</f>
        <v>253</v>
      </c>
    </row>
    <row r="10" spans="1:19" x14ac:dyDescent="0.25">
      <c r="A10" s="3">
        <v>3</v>
      </c>
      <c r="B10" s="6" t="s">
        <v>17</v>
      </c>
      <c r="C10" s="4">
        <v>43</v>
      </c>
      <c r="D10" s="4">
        <v>48</v>
      </c>
      <c r="E10" s="4">
        <v>65</v>
      </c>
      <c r="F10" s="4">
        <v>57</v>
      </c>
      <c r="G10" s="4">
        <v>69</v>
      </c>
      <c r="H10" s="4">
        <v>50</v>
      </c>
      <c r="I10" s="4">
        <v>92</v>
      </c>
      <c r="J10" s="4">
        <v>102</v>
      </c>
      <c r="K10" s="4">
        <v>80</v>
      </c>
      <c r="L10" s="114">
        <v>88</v>
      </c>
      <c r="M10" s="121">
        <v>85</v>
      </c>
      <c r="N10" s="146">
        <v>68</v>
      </c>
      <c r="O10" s="5">
        <f t="shared" si="0"/>
        <v>847</v>
      </c>
    </row>
    <row r="11" spans="1:19" x14ac:dyDescent="0.25">
      <c r="A11" s="3">
        <v>4</v>
      </c>
      <c r="B11" s="6" t="s">
        <v>18</v>
      </c>
      <c r="C11" s="4">
        <v>3</v>
      </c>
      <c r="D11" s="4">
        <v>4</v>
      </c>
      <c r="E11" s="4">
        <v>4</v>
      </c>
      <c r="F11" s="4">
        <v>3</v>
      </c>
      <c r="G11" s="4">
        <v>3</v>
      </c>
      <c r="H11" s="4">
        <v>3</v>
      </c>
      <c r="I11" s="4">
        <v>2</v>
      </c>
      <c r="J11" s="4">
        <v>3</v>
      </c>
      <c r="K11" s="4">
        <v>3</v>
      </c>
      <c r="L11" s="114">
        <v>3</v>
      </c>
      <c r="M11" s="121">
        <v>3</v>
      </c>
      <c r="N11" s="146">
        <v>4</v>
      </c>
      <c r="O11" s="5">
        <f t="shared" si="0"/>
        <v>38</v>
      </c>
    </row>
    <row r="12" spans="1:19" x14ac:dyDescent="0.25">
      <c r="A12" s="3">
        <v>5</v>
      </c>
      <c r="B12" s="4" t="s">
        <v>19</v>
      </c>
      <c r="C12" s="4">
        <v>6367</v>
      </c>
      <c r="D12" s="4">
        <v>5976</v>
      </c>
      <c r="E12" s="4">
        <v>6395</v>
      </c>
      <c r="F12" s="4">
        <v>6157</v>
      </c>
      <c r="G12" s="4">
        <v>7177</v>
      </c>
      <c r="H12" s="4">
        <v>7130</v>
      </c>
      <c r="I12" s="4">
        <v>7789</v>
      </c>
      <c r="J12" s="4">
        <v>8014</v>
      </c>
      <c r="K12" s="4">
        <v>7118</v>
      </c>
      <c r="L12" s="114">
        <v>8219</v>
      </c>
      <c r="M12" s="121">
        <v>7805</v>
      </c>
      <c r="N12" s="146">
        <v>7955</v>
      </c>
      <c r="O12" s="5">
        <f t="shared" si="0"/>
        <v>86102</v>
      </c>
    </row>
    <row r="13" spans="1:19" x14ac:dyDescent="0.25">
      <c r="A13" s="3">
        <v>6</v>
      </c>
      <c r="B13" s="4" t="s">
        <v>20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5">
        <f t="shared" si="0"/>
        <v>0</v>
      </c>
    </row>
    <row r="14" spans="1:19" x14ac:dyDescent="0.25">
      <c r="A14" s="128">
        <v>7</v>
      </c>
      <c r="B14" s="5" t="s">
        <v>21</v>
      </c>
      <c r="C14" s="4"/>
      <c r="D14" s="4"/>
      <c r="E14" s="4"/>
      <c r="F14" s="4"/>
      <c r="G14" s="4"/>
      <c r="H14" s="4"/>
      <c r="I14" s="7"/>
      <c r="J14" s="7"/>
      <c r="K14" s="4"/>
      <c r="L14" s="4"/>
      <c r="M14" s="4"/>
      <c r="N14" s="4"/>
      <c r="O14" s="5">
        <f t="shared" si="0"/>
        <v>0</v>
      </c>
    </row>
    <row r="15" spans="1:19" x14ac:dyDescent="0.25">
      <c r="A15" s="129"/>
      <c r="B15" s="4" t="s">
        <v>22</v>
      </c>
      <c r="C15" s="4">
        <v>42</v>
      </c>
      <c r="D15" s="4">
        <v>17</v>
      </c>
      <c r="E15" s="4">
        <v>56</v>
      </c>
      <c r="F15" s="4">
        <v>35</v>
      </c>
      <c r="G15" s="4">
        <v>43</v>
      </c>
      <c r="H15" s="4">
        <v>36</v>
      </c>
      <c r="I15" s="4">
        <v>39</v>
      </c>
      <c r="J15" s="4">
        <v>65</v>
      </c>
      <c r="K15" s="4">
        <v>48</v>
      </c>
      <c r="L15" s="115">
        <v>40</v>
      </c>
      <c r="M15" s="122">
        <v>16</v>
      </c>
      <c r="N15" s="147">
        <v>14</v>
      </c>
      <c r="O15" s="5">
        <f t="shared" si="0"/>
        <v>451</v>
      </c>
      <c r="S15" t="s">
        <v>202</v>
      </c>
    </row>
    <row r="16" spans="1:19" x14ac:dyDescent="0.25">
      <c r="A16" s="129"/>
      <c r="B16" s="4" t="s">
        <v>23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115">
        <v>0</v>
      </c>
      <c r="M16" s="122">
        <v>0</v>
      </c>
      <c r="N16" s="147">
        <v>0</v>
      </c>
      <c r="O16" s="5">
        <f t="shared" si="0"/>
        <v>0</v>
      </c>
    </row>
    <row r="17" spans="1:15" x14ac:dyDescent="0.25">
      <c r="A17" s="130"/>
      <c r="B17" s="4" t="s">
        <v>24</v>
      </c>
      <c r="C17" s="4">
        <v>110</v>
      </c>
      <c r="D17" s="4">
        <v>70</v>
      </c>
      <c r="E17" s="4">
        <v>90</v>
      </c>
      <c r="F17" s="4">
        <v>52</v>
      </c>
      <c r="G17" s="4">
        <v>74</v>
      </c>
      <c r="H17" s="4">
        <v>91</v>
      </c>
      <c r="I17" s="4">
        <v>95</v>
      </c>
      <c r="J17" s="4">
        <v>97</v>
      </c>
      <c r="K17" s="4">
        <v>94</v>
      </c>
      <c r="L17" s="115">
        <v>12</v>
      </c>
      <c r="M17" s="122">
        <v>22</v>
      </c>
      <c r="N17" s="147">
        <v>86</v>
      </c>
      <c r="O17" s="5">
        <f t="shared" si="0"/>
        <v>893</v>
      </c>
    </row>
    <row r="18" spans="1:15" x14ac:dyDescent="0.25">
      <c r="A18" s="3">
        <v>8</v>
      </c>
      <c r="B18" s="4" t="s">
        <v>33</v>
      </c>
      <c r="C18" s="4">
        <v>1314</v>
      </c>
      <c r="D18" s="4">
        <v>1164</v>
      </c>
      <c r="E18" s="4">
        <v>1378</v>
      </c>
      <c r="F18" s="4">
        <v>1241</v>
      </c>
      <c r="G18" s="4">
        <v>1492</v>
      </c>
      <c r="H18" s="4">
        <v>1526</v>
      </c>
      <c r="I18" s="4">
        <v>1593</v>
      </c>
      <c r="J18" s="4">
        <v>1538</v>
      </c>
      <c r="K18" s="4">
        <v>1335</v>
      </c>
      <c r="L18" s="115">
        <v>1569</v>
      </c>
      <c r="M18" s="122">
        <v>1498</v>
      </c>
      <c r="N18" s="147">
        <v>1582</v>
      </c>
      <c r="O18" s="5">
        <f t="shared" si="0"/>
        <v>17230</v>
      </c>
    </row>
    <row r="19" spans="1:15" x14ac:dyDescent="0.25">
      <c r="A19" s="3">
        <v>9</v>
      </c>
      <c r="B19" s="4" t="s">
        <v>34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/>
      <c r="L19" s="115">
        <v>0</v>
      </c>
      <c r="M19" s="4"/>
      <c r="N19" s="4"/>
      <c r="O19" s="5">
        <f t="shared" si="0"/>
        <v>0</v>
      </c>
    </row>
    <row r="20" spans="1:15" x14ac:dyDescent="0.25">
      <c r="A20" s="3">
        <v>10</v>
      </c>
      <c r="B20" s="4" t="s">
        <v>30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>
        <f t="shared" si="0"/>
        <v>0</v>
      </c>
    </row>
    <row r="21" spans="1:15" x14ac:dyDescent="0.25">
      <c r="A21" s="3">
        <v>11</v>
      </c>
      <c r="B21" s="15" t="s">
        <v>31</v>
      </c>
      <c r="C21" s="4">
        <v>132</v>
      </c>
      <c r="D21" s="4">
        <v>83</v>
      </c>
      <c r="E21" s="4">
        <v>146</v>
      </c>
      <c r="F21" s="4">
        <v>105</v>
      </c>
      <c r="G21" s="4">
        <v>135</v>
      </c>
      <c r="H21" s="4">
        <v>165</v>
      </c>
      <c r="I21" s="4">
        <v>164</v>
      </c>
      <c r="J21" s="4">
        <v>158</v>
      </c>
      <c r="K21" s="4">
        <v>134</v>
      </c>
      <c r="L21" s="116">
        <v>147</v>
      </c>
      <c r="M21" s="4">
        <v>147</v>
      </c>
      <c r="N21" s="4">
        <v>151</v>
      </c>
      <c r="O21" s="5">
        <f t="shared" si="0"/>
        <v>1667</v>
      </c>
    </row>
    <row r="22" spans="1:15" x14ac:dyDescent="0.25">
      <c r="A22" s="111">
        <v>12</v>
      </c>
      <c r="B22" s="15" t="s">
        <v>230</v>
      </c>
      <c r="C22" s="4">
        <v>4</v>
      </c>
      <c r="D22" s="4">
        <v>0</v>
      </c>
      <c r="E22" s="4">
        <v>3</v>
      </c>
      <c r="F22" s="4">
        <v>0</v>
      </c>
      <c r="G22" s="4">
        <v>4</v>
      </c>
      <c r="H22" s="4">
        <v>1</v>
      </c>
      <c r="I22" s="4">
        <v>1</v>
      </c>
      <c r="J22" s="15">
        <v>2</v>
      </c>
      <c r="K22" s="4">
        <v>1</v>
      </c>
      <c r="L22" s="4">
        <v>2</v>
      </c>
      <c r="M22" s="4">
        <v>1</v>
      </c>
      <c r="N22" s="4">
        <v>4</v>
      </c>
      <c r="O22" s="4">
        <f t="shared" si="0"/>
        <v>23</v>
      </c>
    </row>
    <row r="24" spans="1:15" x14ac:dyDescent="0.25">
      <c r="B24" s="1" t="s">
        <v>225</v>
      </c>
      <c r="M24" s="48"/>
    </row>
    <row r="72" ht="27.75" customHeight="1" x14ac:dyDescent="0.25"/>
  </sheetData>
  <mergeCells count="2">
    <mergeCell ref="A5:O5"/>
    <mergeCell ref="A14:A17"/>
  </mergeCells>
  <printOptions horizontalCentered="1"/>
  <pageMargins left="0.7" right="0.7" top="0.5" bottom="0.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2"/>
  <sheetViews>
    <sheetView workbookViewId="0">
      <selection activeCell="N20" sqref="N20"/>
    </sheetView>
  </sheetViews>
  <sheetFormatPr defaultRowHeight="15" x14ac:dyDescent="0.25"/>
  <cols>
    <col min="1" max="1" width="4" customWidth="1"/>
    <col min="3" max="3" width="17.85546875" customWidth="1"/>
    <col min="4" max="4" width="11.28515625" customWidth="1"/>
    <col min="13" max="13" width="8.5703125" customWidth="1"/>
  </cols>
  <sheetData>
    <row r="1" spans="1:1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72" customFormat="1" x14ac:dyDescent="0.25">
      <c r="B6" s="135" t="s">
        <v>226</v>
      </c>
      <c r="C6" s="136"/>
      <c r="D6" s="43" t="s">
        <v>2</v>
      </c>
      <c r="E6" s="43" t="s">
        <v>3</v>
      </c>
      <c r="F6" s="43" t="s">
        <v>4</v>
      </c>
      <c r="G6" s="43" t="s">
        <v>5</v>
      </c>
      <c r="H6" s="43" t="s">
        <v>6</v>
      </c>
      <c r="I6" s="43" t="s">
        <v>189</v>
      </c>
      <c r="J6" s="43" t="s">
        <v>188</v>
      </c>
      <c r="K6" s="43" t="s">
        <v>9</v>
      </c>
      <c r="L6" s="43" t="s">
        <v>10</v>
      </c>
      <c r="M6" s="43" t="s">
        <v>11</v>
      </c>
      <c r="N6" s="43" t="s">
        <v>12</v>
      </c>
      <c r="O6" s="43" t="s">
        <v>13</v>
      </c>
    </row>
    <row r="7" spans="1:15" s="72" customFormat="1" x14ac:dyDescent="0.25">
      <c r="B7" s="78" t="s">
        <v>197</v>
      </c>
      <c r="C7" s="4"/>
      <c r="D7" s="4">
        <v>7</v>
      </c>
      <c r="E7" s="4">
        <v>9</v>
      </c>
      <c r="F7" s="4">
        <v>17</v>
      </c>
      <c r="G7" s="4">
        <v>12</v>
      </c>
      <c r="H7" s="4">
        <v>25</v>
      </c>
      <c r="I7" s="4">
        <v>8</v>
      </c>
      <c r="J7" s="4">
        <v>9</v>
      </c>
      <c r="K7" s="4">
        <v>17</v>
      </c>
      <c r="L7" s="4">
        <v>12</v>
      </c>
      <c r="M7" s="4">
        <v>23</v>
      </c>
      <c r="N7" s="4">
        <v>15</v>
      </c>
      <c r="O7" s="4"/>
    </row>
    <row r="8" spans="1:15" s="72" customFormat="1" x14ac:dyDescent="0.25">
      <c r="B8" s="78" t="s">
        <v>196</v>
      </c>
      <c r="C8" s="4"/>
      <c r="D8" s="4">
        <v>70</v>
      </c>
      <c r="E8" s="4">
        <v>59</v>
      </c>
      <c r="F8" s="4">
        <v>62</v>
      </c>
      <c r="G8" s="4">
        <v>72</v>
      </c>
      <c r="H8" s="4">
        <v>98</v>
      </c>
      <c r="I8" s="4">
        <v>110</v>
      </c>
      <c r="J8" s="4">
        <v>113</v>
      </c>
      <c r="K8" s="4">
        <v>94</v>
      </c>
      <c r="L8" s="4">
        <v>56</v>
      </c>
      <c r="M8" s="4">
        <v>83</v>
      </c>
      <c r="N8" s="4">
        <v>82</v>
      </c>
      <c r="O8" s="4"/>
    </row>
    <row r="9" spans="1:15" s="72" customFormat="1" x14ac:dyDescent="0.25">
      <c r="B9" s="78" t="s">
        <v>195</v>
      </c>
      <c r="C9" s="4"/>
      <c r="D9" s="4">
        <v>52</v>
      </c>
      <c r="E9" s="4">
        <v>35</v>
      </c>
      <c r="F9" s="4">
        <v>59</v>
      </c>
      <c r="G9" s="4">
        <v>50</v>
      </c>
      <c r="H9" s="4">
        <v>55</v>
      </c>
      <c r="I9" s="4">
        <v>42</v>
      </c>
      <c r="J9" s="4">
        <v>42</v>
      </c>
      <c r="K9" s="4">
        <v>61</v>
      </c>
      <c r="L9" s="4">
        <v>36</v>
      </c>
      <c r="M9" s="4">
        <v>51</v>
      </c>
      <c r="N9" s="4">
        <v>50</v>
      </c>
      <c r="O9" s="4"/>
    </row>
    <row r="10" spans="1:15" s="72" customFormat="1" x14ac:dyDescent="0.25">
      <c r="B10" s="78" t="s">
        <v>194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s="72" customFormat="1" x14ac:dyDescent="0.25">
      <c r="B11" s="78" t="s">
        <v>193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s="72" customFormat="1" x14ac:dyDescent="0.25">
      <c r="B12" s="78" t="s">
        <v>192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s="72" customFormat="1" x14ac:dyDescent="0.25">
      <c r="B13" s="78" t="s">
        <v>191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s="72" customFormat="1" x14ac:dyDescent="0.25">
      <c r="B14" s="137" t="s">
        <v>190</v>
      </c>
      <c r="C14" s="137"/>
      <c r="D14" s="4">
        <f t="shared" ref="D14:N14" si="0">SUM(D7:D13)</f>
        <v>129</v>
      </c>
      <c r="E14" s="4">
        <f t="shared" si="0"/>
        <v>103</v>
      </c>
      <c r="F14" s="4">
        <f t="shared" si="0"/>
        <v>138</v>
      </c>
      <c r="G14" s="4">
        <f t="shared" si="0"/>
        <v>134</v>
      </c>
      <c r="H14" s="4">
        <f t="shared" si="0"/>
        <v>178</v>
      </c>
      <c r="I14" s="4">
        <f t="shared" si="0"/>
        <v>160</v>
      </c>
      <c r="J14" s="4">
        <f t="shared" si="0"/>
        <v>164</v>
      </c>
      <c r="K14" s="4">
        <f t="shared" si="0"/>
        <v>172</v>
      </c>
      <c r="L14" s="4">
        <f t="shared" si="0"/>
        <v>104</v>
      </c>
      <c r="M14" s="4">
        <f t="shared" si="0"/>
        <v>157</v>
      </c>
      <c r="N14" s="4">
        <f t="shared" si="0"/>
        <v>147</v>
      </c>
      <c r="O14" s="4">
        <f>SUM(O7:O13)</f>
        <v>0</v>
      </c>
    </row>
    <row r="15" spans="1:15" s="51" customFormat="1" x14ac:dyDescent="0.25">
      <c r="B15" s="50"/>
      <c r="C15" s="5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5" s="51" customFormat="1" x14ac:dyDescent="0.25">
      <c r="B16" s="135" t="s">
        <v>227</v>
      </c>
      <c r="C16" s="136"/>
      <c r="D16" s="60" t="s">
        <v>2</v>
      </c>
      <c r="E16" s="60" t="s">
        <v>3</v>
      </c>
      <c r="F16" s="60" t="s">
        <v>4</v>
      </c>
      <c r="G16" s="60" t="s">
        <v>5</v>
      </c>
      <c r="H16" s="60" t="s">
        <v>6</v>
      </c>
      <c r="I16" s="60" t="s">
        <v>189</v>
      </c>
      <c r="J16" s="60" t="s">
        <v>188</v>
      </c>
      <c r="K16" s="60" t="s">
        <v>9</v>
      </c>
      <c r="L16" s="60" t="s">
        <v>10</v>
      </c>
      <c r="M16" s="60" t="s">
        <v>11</v>
      </c>
      <c r="N16" s="60" t="s">
        <v>12</v>
      </c>
      <c r="O16" s="60" t="s">
        <v>13</v>
      </c>
    </row>
    <row r="17" spans="1:15" x14ac:dyDescent="0.25">
      <c r="A17" s="34"/>
      <c r="B17" s="66" t="s">
        <v>196</v>
      </c>
      <c r="C17" s="66"/>
      <c r="D17" s="4">
        <v>27</v>
      </c>
      <c r="E17" s="4">
        <v>17</v>
      </c>
      <c r="F17" s="4">
        <v>32</v>
      </c>
      <c r="G17" s="4">
        <v>17</v>
      </c>
      <c r="H17" s="4">
        <v>28</v>
      </c>
      <c r="I17" s="4">
        <v>39</v>
      </c>
      <c r="J17" s="4">
        <v>40</v>
      </c>
      <c r="K17" s="4">
        <v>22</v>
      </c>
      <c r="L17" s="4">
        <v>21</v>
      </c>
      <c r="M17" s="4">
        <v>46</v>
      </c>
      <c r="N17" s="4">
        <v>21</v>
      </c>
      <c r="O17" s="4"/>
    </row>
    <row r="18" spans="1:15" s="51" customFormat="1" x14ac:dyDescent="0.25">
      <c r="B18" s="50"/>
      <c r="C18" s="5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 s="63" customFormat="1" x14ac:dyDescent="0.25">
      <c r="B19" s="135" t="s">
        <v>228</v>
      </c>
      <c r="C19" s="136"/>
      <c r="D19" s="60" t="s">
        <v>2</v>
      </c>
      <c r="E19" s="60" t="s">
        <v>3</v>
      </c>
      <c r="F19" s="60" t="s">
        <v>4</v>
      </c>
      <c r="G19" s="60" t="s">
        <v>5</v>
      </c>
      <c r="H19" s="60" t="s">
        <v>6</v>
      </c>
      <c r="I19" s="60" t="s">
        <v>189</v>
      </c>
      <c r="J19" s="60" t="s">
        <v>188</v>
      </c>
      <c r="K19" s="60" t="s">
        <v>9</v>
      </c>
      <c r="L19" s="60" t="s">
        <v>10</v>
      </c>
      <c r="M19" s="60" t="s">
        <v>11</v>
      </c>
      <c r="N19" s="60" t="s">
        <v>12</v>
      </c>
      <c r="O19" s="60" t="s">
        <v>13</v>
      </c>
    </row>
    <row r="20" spans="1:15" s="63" customFormat="1" x14ac:dyDescent="0.25">
      <c r="B20" s="67" t="s">
        <v>196</v>
      </c>
      <c r="C20" s="67"/>
      <c r="D20" s="4">
        <v>26</v>
      </c>
      <c r="E20" s="4">
        <v>31</v>
      </c>
      <c r="F20" s="4">
        <v>34</v>
      </c>
      <c r="G20" s="4">
        <v>28</v>
      </c>
      <c r="H20" s="4">
        <v>32</v>
      </c>
      <c r="I20" s="4">
        <v>43</v>
      </c>
      <c r="J20" s="4">
        <v>37</v>
      </c>
      <c r="K20" s="4">
        <v>42</v>
      </c>
      <c r="L20" s="4">
        <v>26</v>
      </c>
      <c r="M20" s="4">
        <v>48</v>
      </c>
      <c r="N20" s="4">
        <v>24</v>
      </c>
      <c r="O20" s="4"/>
    </row>
    <row r="21" spans="1:15" s="71" customFormat="1" x14ac:dyDescent="0.25">
      <c r="B21" s="68" t="s">
        <v>195</v>
      </c>
      <c r="C21" s="68"/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/>
      <c r="N21" s="4"/>
      <c r="O21" s="4"/>
    </row>
    <row r="22" spans="1:15" x14ac:dyDescent="0.25">
      <c r="A22" s="34"/>
      <c r="B22" s="50"/>
      <c r="C22" s="5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</sheetData>
  <mergeCells count="4">
    <mergeCell ref="B19:C19"/>
    <mergeCell ref="B16:C16"/>
    <mergeCell ref="B6:C6"/>
    <mergeCell ref="B14:C14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94"/>
  <sheetViews>
    <sheetView topLeftCell="A22" workbookViewId="0">
      <selection activeCell="Q43" sqref="Q43"/>
    </sheetView>
  </sheetViews>
  <sheetFormatPr defaultRowHeight="15" x14ac:dyDescent="0.25"/>
  <cols>
    <col min="1" max="2" width="9.140625" style="72"/>
    <col min="3" max="3" width="12.85546875" style="72" customWidth="1"/>
    <col min="4" max="4" width="11.28515625" style="72" customWidth="1"/>
    <col min="5" max="16384" width="9.140625" style="72"/>
  </cols>
  <sheetData>
    <row r="1" spans="2:15" x14ac:dyDescent="0.25">
      <c r="B1" s="140">
        <v>2013</v>
      </c>
      <c r="C1" s="141"/>
      <c r="D1" s="90" t="s">
        <v>2</v>
      </c>
      <c r="E1" s="90" t="s">
        <v>3</v>
      </c>
      <c r="F1" s="90" t="s">
        <v>4</v>
      </c>
      <c r="G1" s="90" t="s">
        <v>5</v>
      </c>
      <c r="H1" s="90" t="s">
        <v>6</v>
      </c>
      <c r="I1" s="90" t="s">
        <v>189</v>
      </c>
      <c r="J1" s="90" t="s">
        <v>188</v>
      </c>
      <c r="K1" s="90" t="s">
        <v>9</v>
      </c>
      <c r="L1" s="90" t="s">
        <v>10</v>
      </c>
      <c r="M1" s="90" t="s">
        <v>11</v>
      </c>
      <c r="N1" s="90" t="s">
        <v>12</v>
      </c>
      <c r="O1" s="90" t="s">
        <v>13</v>
      </c>
    </row>
    <row r="2" spans="2:15" x14ac:dyDescent="0.25">
      <c r="B2" s="138" t="s">
        <v>200</v>
      </c>
      <c r="C2" s="139"/>
      <c r="D2" s="4">
        <f>36+1</f>
        <v>37</v>
      </c>
      <c r="E2" s="4">
        <f>1+25</f>
        <v>26</v>
      </c>
      <c r="F2" s="4">
        <f>47+1</f>
        <v>48</v>
      </c>
      <c r="G2" s="4">
        <v>21</v>
      </c>
      <c r="H2" s="4">
        <v>32</v>
      </c>
      <c r="I2" s="4">
        <v>33</v>
      </c>
      <c r="J2" s="4">
        <v>50</v>
      </c>
      <c r="K2" s="4">
        <f>39+1</f>
        <v>40</v>
      </c>
      <c r="L2" s="4">
        <v>53</v>
      </c>
      <c r="M2" s="4">
        <f>1+47+1</f>
        <v>49</v>
      </c>
      <c r="N2" s="4">
        <v>51</v>
      </c>
      <c r="O2" s="4">
        <f>48+2</f>
        <v>50</v>
      </c>
    </row>
    <row r="3" spans="2:15" x14ac:dyDescent="0.25">
      <c r="B3" s="138" t="s">
        <v>199</v>
      </c>
      <c r="C3" s="139"/>
      <c r="D3" s="4">
        <v>2</v>
      </c>
      <c r="E3" s="4">
        <v>1</v>
      </c>
      <c r="F3" s="4">
        <f>1+3</f>
        <v>4</v>
      </c>
      <c r="G3" s="4">
        <v>2</v>
      </c>
      <c r="H3" s="4">
        <v>1</v>
      </c>
      <c r="I3" s="4">
        <f>1+1</f>
        <v>2</v>
      </c>
      <c r="J3" s="4">
        <v>3</v>
      </c>
      <c r="K3" s="4">
        <f>1+4</f>
        <v>5</v>
      </c>
      <c r="L3" s="4">
        <v>1</v>
      </c>
      <c r="M3" s="4">
        <v>4</v>
      </c>
      <c r="N3" s="4">
        <f>2+9</f>
        <v>11</v>
      </c>
      <c r="O3" s="4">
        <f>1+8</f>
        <v>9</v>
      </c>
    </row>
    <row r="4" spans="2:15" x14ac:dyDescent="0.25">
      <c r="B4" s="138" t="s">
        <v>198</v>
      </c>
      <c r="C4" s="139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5" x14ac:dyDescent="0.25">
      <c r="B5" s="138" t="s">
        <v>190</v>
      </c>
      <c r="C5" s="139"/>
      <c r="D5" s="4">
        <f t="shared" ref="D5:O5" si="0">SUM(D2:D4)</f>
        <v>39</v>
      </c>
      <c r="E5" s="4">
        <f t="shared" si="0"/>
        <v>27</v>
      </c>
      <c r="F5" s="4">
        <f t="shared" si="0"/>
        <v>52</v>
      </c>
      <c r="G5" s="4">
        <f t="shared" si="0"/>
        <v>23</v>
      </c>
      <c r="H5" s="4">
        <f t="shared" si="0"/>
        <v>33</v>
      </c>
      <c r="I5" s="4">
        <f t="shared" si="0"/>
        <v>35</v>
      </c>
      <c r="J5" s="4">
        <f t="shared" si="0"/>
        <v>53</v>
      </c>
      <c r="K5" s="4">
        <f t="shared" si="0"/>
        <v>45</v>
      </c>
      <c r="L5" s="4">
        <f t="shared" si="0"/>
        <v>54</v>
      </c>
      <c r="M5" s="4">
        <f t="shared" si="0"/>
        <v>53</v>
      </c>
      <c r="N5" s="4">
        <f t="shared" si="0"/>
        <v>62</v>
      </c>
      <c r="O5" s="4">
        <f t="shared" si="0"/>
        <v>59</v>
      </c>
    </row>
    <row r="7" spans="2:15" x14ac:dyDescent="0.25">
      <c r="B7" s="140">
        <v>2014</v>
      </c>
      <c r="C7" s="141"/>
      <c r="D7" s="90" t="s">
        <v>2</v>
      </c>
      <c r="E7" s="90" t="s">
        <v>3</v>
      </c>
      <c r="F7" s="90" t="s">
        <v>4</v>
      </c>
      <c r="G7" s="90" t="s">
        <v>5</v>
      </c>
      <c r="H7" s="90" t="s">
        <v>6</v>
      </c>
      <c r="I7" s="90" t="s">
        <v>189</v>
      </c>
      <c r="J7" s="90" t="s">
        <v>188</v>
      </c>
      <c r="K7" s="90" t="s">
        <v>9</v>
      </c>
      <c r="L7" s="90" t="s">
        <v>10</v>
      </c>
      <c r="M7" s="90" t="s">
        <v>11</v>
      </c>
      <c r="N7" s="90" t="s">
        <v>12</v>
      </c>
      <c r="O7" s="90" t="s">
        <v>13</v>
      </c>
    </row>
    <row r="8" spans="2:15" x14ac:dyDescent="0.25">
      <c r="B8" s="138" t="s">
        <v>200</v>
      </c>
      <c r="C8" s="139"/>
      <c r="D8" s="4">
        <v>44</v>
      </c>
      <c r="E8" s="4">
        <f>60+1</f>
        <v>61</v>
      </c>
      <c r="F8" s="4">
        <v>44</v>
      </c>
      <c r="G8" s="4">
        <v>59</v>
      </c>
      <c r="H8" s="4">
        <v>60</v>
      </c>
      <c r="I8" s="4">
        <f>73+1+1</f>
        <v>75</v>
      </c>
      <c r="J8" s="4">
        <f>69+1</f>
        <v>70</v>
      </c>
      <c r="K8" s="4">
        <f>87+1+1</f>
        <v>89</v>
      </c>
      <c r="L8" s="4">
        <f>59+1+1</f>
        <v>61</v>
      </c>
      <c r="M8" s="4">
        <f>69+1+1</f>
        <v>71</v>
      </c>
      <c r="N8" s="4">
        <f>59+2</f>
        <v>61</v>
      </c>
      <c r="O8" s="4">
        <f>70+1</f>
        <v>71</v>
      </c>
    </row>
    <row r="9" spans="2:15" x14ac:dyDescent="0.25">
      <c r="B9" s="138" t="s">
        <v>199</v>
      </c>
      <c r="C9" s="139"/>
      <c r="D9" s="4">
        <v>2</v>
      </c>
      <c r="E9" s="4">
        <v>4</v>
      </c>
      <c r="F9" s="4">
        <v>3</v>
      </c>
      <c r="G9" s="4">
        <f>8+1</f>
        <v>9</v>
      </c>
      <c r="H9" s="4">
        <v>6</v>
      </c>
      <c r="I9" s="4">
        <f>1+4</f>
        <v>5</v>
      </c>
      <c r="J9" s="4">
        <v>9</v>
      </c>
      <c r="K9" s="4">
        <v>18</v>
      </c>
      <c r="L9" s="4">
        <v>12</v>
      </c>
      <c r="M9" s="4">
        <f>15+1</f>
        <v>16</v>
      </c>
      <c r="N9" s="4">
        <v>13</v>
      </c>
      <c r="O9" s="4">
        <v>19</v>
      </c>
    </row>
    <row r="10" spans="2:15" x14ac:dyDescent="0.25">
      <c r="B10" s="138" t="s">
        <v>198</v>
      </c>
      <c r="C10" s="139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2:15" x14ac:dyDescent="0.25">
      <c r="B11" s="138" t="s">
        <v>190</v>
      </c>
      <c r="C11" s="139"/>
      <c r="D11" s="4">
        <f t="shared" ref="D11:O11" si="1">SUM(D8:D10)</f>
        <v>46</v>
      </c>
      <c r="E11" s="4">
        <f t="shared" si="1"/>
        <v>65</v>
      </c>
      <c r="F11" s="4">
        <f t="shared" si="1"/>
        <v>47</v>
      </c>
      <c r="G11" s="4">
        <f t="shared" si="1"/>
        <v>68</v>
      </c>
      <c r="H11" s="4">
        <f t="shared" si="1"/>
        <v>66</v>
      </c>
      <c r="I11" s="4">
        <f t="shared" si="1"/>
        <v>80</v>
      </c>
      <c r="J11" s="4">
        <f t="shared" si="1"/>
        <v>79</v>
      </c>
      <c r="K11" s="4">
        <f t="shared" si="1"/>
        <v>107</v>
      </c>
      <c r="L11" s="4">
        <f t="shared" si="1"/>
        <v>73</v>
      </c>
      <c r="M11" s="4">
        <f t="shared" si="1"/>
        <v>87</v>
      </c>
      <c r="N11" s="4">
        <f t="shared" si="1"/>
        <v>74</v>
      </c>
      <c r="O11" s="4">
        <f t="shared" si="1"/>
        <v>90</v>
      </c>
    </row>
    <row r="13" spans="2:15" x14ac:dyDescent="0.25">
      <c r="B13" s="140">
        <v>2015</v>
      </c>
      <c r="C13" s="141"/>
      <c r="D13" s="90" t="s">
        <v>2</v>
      </c>
      <c r="E13" s="90" t="s">
        <v>3</v>
      </c>
      <c r="F13" s="90" t="s">
        <v>4</v>
      </c>
      <c r="G13" s="90" t="s">
        <v>5</v>
      </c>
      <c r="H13" s="90" t="s">
        <v>6</v>
      </c>
      <c r="I13" s="90" t="s">
        <v>189</v>
      </c>
      <c r="J13" s="90" t="s">
        <v>188</v>
      </c>
      <c r="K13" s="90" t="s">
        <v>9</v>
      </c>
      <c r="L13" s="90" t="s">
        <v>10</v>
      </c>
      <c r="M13" s="90" t="s">
        <v>11</v>
      </c>
      <c r="N13" s="90" t="s">
        <v>12</v>
      </c>
      <c r="O13" s="90" t="s">
        <v>13</v>
      </c>
    </row>
    <row r="14" spans="2:15" x14ac:dyDescent="0.25">
      <c r="B14" s="138" t="s">
        <v>200</v>
      </c>
      <c r="C14" s="139"/>
      <c r="D14" s="4">
        <f>73+1+1</f>
        <v>75</v>
      </c>
      <c r="E14" s="4">
        <f>71+1+3+1</f>
        <v>76</v>
      </c>
      <c r="F14" s="4">
        <f>75+4+1</f>
        <v>80</v>
      </c>
      <c r="G14" s="4">
        <v>61</v>
      </c>
      <c r="H14" s="4">
        <f>61+1</f>
        <v>62</v>
      </c>
      <c r="I14" s="4">
        <v>57</v>
      </c>
      <c r="J14" s="4">
        <f>68+1+1</f>
        <v>70</v>
      </c>
      <c r="K14" s="4">
        <f>47+1</f>
        <v>48</v>
      </c>
      <c r="L14" s="4">
        <f>63+2</f>
        <v>65</v>
      </c>
      <c r="M14" s="4">
        <f>62+1</f>
        <v>63</v>
      </c>
      <c r="N14" s="4">
        <f>44+1+1</f>
        <v>46</v>
      </c>
      <c r="O14" s="4">
        <f>73+2</f>
        <v>75</v>
      </c>
    </row>
    <row r="15" spans="2:15" x14ac:dyDescent="0.25">
      <c r="B15" s="138" t="s">
        <v>199</v>
      </c>
      <c r="C15" s="139"/>
      <c r="D15" s="4">
        <v>26</v>
      </c>
      <c r="E15" s="4">
        <f>21+1</f>
        <v>22</v>
      </c>
      <c r="F15" s="4">
        <v>18</v>
      </c>
      <c r="G15" s="4">
        <v>13</v>
      </c>
      <c r="H15" s="4">
        <v>15</v>
      </c>
      <c r="I15" s="4">
        <v>7</v>
      </c>
      <c r="J15" s="4">
        <v>5</v>
      </c>
      <c r="K15" s="4">
        <f>12+4</f>
        <v>16</v>
      </c>
      <c r="L15" s="4">
        <f>4+3</f>
        <v>7</v>
      </c>
      <c r="M15" s="4">
        <f>8+1</f>
        <v>9</v>
      </c>
      <c r="N15" s="4">
        <f>7+1</f>
        <v>8</v>
      </c>
      <c r="O15" s="4">
        <f>10+2</f>
        <v>12</v>
      </c>
    </row>
    <row r="16" spans="2:15" x14ac:dyDescent="0.25">
      <c r="B16" s="138" t="s">
        <v>198</v>
      </c>
      <c r="C16" s="139"/>
      <c r="D16" s="4"/>
      <c r="E16" s="4"/>
      <c r="F16" s="4"/>
      <c r="G16" s="4"/>
      <c r="H16" s="4"/>
      <c r="I16" s="4"/>
      <c r="J16" s="4">
        <v>7</v>
      </c>
      <c r="K16" s="4">
        <f>8+63</f>
        <v>71</v>
      </c>
      <c r="L16" s="4">
        <v>83</v>
      </c>
      <c r="M16" s="4">
        <v>42</v>
      </c>
      <c r="N16" s="4">
        <v>40</v>
      </c>
      <c r="O16" s="4">
        <v>54</v>
      </c>
    </row>
    <row r="17" spans="2:15" x14ac:dyDescent="0.25">
      <c r="B17" s="138" t="s">
        <v>190</v>
      </c>
      <c r="C17" s="139"/>
      <c r="D17" s="4">
        <f t="shared" ref="D17:O17" si="2">SUM(D14:D16)</f>
        <v>101</v>
      </c>
      <c r="E17" s="4">
        <f t="shared" si="2"/>
        <v>98</v>
      </c>
      <c r="F17" s="4">
        <f t="shared" si="2"/>
        <v>98</v>
      </c>
      <c r="G17" s="4">
        <f t="shared" si="2"/>
        <v>74</v>
      </c>
      <c r="H17" s="4">
        <f t="shared" si="2"/>
        <v>77</v>
      </c>
      <c r="I17" s="4">
        <f t="shared" si="2"/>
        <v>64</v>
      </c>
      <c r="J17" s="4">
        <f t="shared" si="2"/>
        <v>82</v>
      </c>
      <c r="K17" s="4">
        <f t="shared" si="2"/>
        <v>135</v>
      </c>
      <c r="L17" s="4">
        <f t="shared" si="2"/>
        <v>155</v>
      </c>
      <c r="M17" s="4">
        <f t="shared" si="2"/>
        <v>114</v>
      </c>
      <c r="N17" s="4">
        <f t="shared" si="2"/>
        <v>94</v>
      </c>
      <c r="O17" s="4">
        <f t="shared" si="2"/>
        <v>141</v>
      </c>
    </row>
    <row r="19" spans="2:15" x14ac:dyDescent="0.25">
      <c r="B19" s="140">
        <v>2016</v>
      </c>
      <c r="C19" s="141"/>
      <c r="D19" s="90" t="s">
        <v>2</v>
      </c>
      <c r="E19" s="90" t="s">
        <v>3</v>
      </c>
      <c r="F19" s="90" t="s">
        <v>4</v>
      </c>
      <c r="G19" s="90" t="s">
        <v>5</v>
      </c>
      <c r="H19" s="90" t="s">
        <v>6</v>
      </c>
      <c r="I19" s="90" t="s">
        <v>189</v>
      </c>
      <c r="J19" s="90" t="s">
        <v>188</v>
      </c>
      <c r="K19" s="90" t="s">
        <v>9</v>
      </c>
      <c r="L19" s="90" t="s">
        <v>10</v>
      </c>
      <c r="M19" s="90" t="s">
        <v>11</v>
      </c>
      <c r="N19" s="90" t="s">
        <v>12</v>
      </c>
      <c r="O19" s="90" t="s">
        <v>13</v>
      </c>
    </row>
    <row r="20" spans="2:15" x14ac:dyDescent="0.25">
      <c r="B20" s="138" t="s">
        <v>200</v>
      </c>
      <c r="C20" s="139"/>
      <c r="D20" s="4">
        <f>65+1</f>
        <v>66</v>
      </c>
      <c r="E20" s="4">
        <f>70+2</f>
        <v>72</v>
      </c>
      <c r="F20" s="4">
        <f>77+1</f>
        <v>78</v>
      </c>
      <c r="G20" s="4">
        <f>51+2+1</f>
        <v>54</v>
      </c>
      <c r="H20" s="4">
        <f>68+1</f>
        <v>69</v>
      </c>
      <c r="I20" s="4">
        <v>59</v>
      </c>
      <c r="J20" s="4">
        <f>66+1</f>
        <v>67</v>
      </c>
      <c r="K20" s="4">
        <f>88+2+2+1</f>
        <v>93</v>
      </c>
      <c r="L20" s="4">
        <f>70+1</f>
        <v>71</v>
      </c>
      <c r="M20" s="4">
        <f>54+1</f>
        <v>55</v>
      </c>
      <c r="N20" s="4">
        <v>50</v>
      </c>
      <c r="O20" s="4">
        <v>57</v>
      </c>
    </row>
    <row r="21" spans="2:15" x14ac:dyDescent="0.25">
      <c r="B21" s="138" t="s">
        <v>199</v>
      </c>
      <c r="C21" s="139"/>
      <c r="D21" s="4">
        <f>3+1</f>
        <v>4</v>
      </c>
      <c r="E21" s="4">
        <f>3+3</f>
        <v>6</v>
      </c>
      <c r="F21" s="4">
        <v>11</v>
      </c>
      <c r="G21" s="4">
        <f>8+2</f>
        <v>10</v>
      </c>
      <c r="H21" s="4">
        <f>5+1</f>
        <v>6</v>
      </c>
      <c r="I21" s="4">
        <f>5+4</f>
        <v>9</v>
      </c>
      <c r="J21" s="4">
        <f>13+4</f>
        <v>17</v>
      </c>
      <c r="K21" s="4">
        <f>8+7</f>
        <v>15</v>
      </c>
      <c r="L21" s="4">
        <f>8+2</f>
        <v>10</v>
      </c>
      <c r="M21" s="4">
        <f>9+7</f>
        <v>16</v>
      </c>
      <c r="N21" s="4">
        <f>6+5</f>
        <v>11</v>
      </c>
      <c r="O21" s="4">
        <f>6+1+2</f>
        <v>9</v>
      </c>
    </row>
    <row r="22" spans="2:15" x14ac:dyDescent="0.25">
      <c r="B22" s="138" t="s">
        <v>198</v>
      </c>
      <c r="C22" s="139"/>
      <c r="D22" s="4">
        <v>41</v>
      </c>
      <c r="E22" s="4">
        <v>40</v>
      </c>
      <c r="F22" s="4">
        <v>52</v>
      </c>
      <c r="G22" s="4">
        <v>39</v>
      </c>
      <c r="H22" s="4">
        <v>40</v>
      </c>
      <c r="I22" s="4">
        <v>45</v>
      </c>
      <c r="J22" s="4">
        <v>42</v>
      </c>
      <c r="K22" s="4">
        <v>29</v>
      </c>
      <c r="L22" s="4">
        <v>40</v>
      </c>
      <c r="M22" s="4">
        <v>52</v>
      </c>
      <c r="N22" s="4">
        <v>33</v>
      </c>
      <c r="O22" s="4">
        <v>37</v>
      </c>
    </row>
    <row r="23" spans="2:15" x14ac:dyDescent="0.25">
      <c r="B23" s="138" t="s">
        <v>190</v>
      </c>
      <c r="C23" s="139"/>
      <c r="D23" s="4">
        <f t="shared" ref="D23:O23" si="3">SUM(D20:D22)</f>
        <v>111</v>
      </c>
      <c r="E23" s="4">
        <f t="shared" si="3"/>
        <v>118</v>
      </c>
      <c r="F23" s="4">
        <f t="shared" si="3"/>
        <v>141</v>
      </c>
      <c r="G23" s="4">
        <f t="shared" si="3"/>
        <v>103</v>
      </c>
      <c r="H23" s="4">
        <f t="shared" si="3"/>
        <v>115</v>
      </c>
      <c r="I23" s="4">
        <f t="shared" si="3"/>
        <v>113</v>
      </c>
      <c r="J23" s="4">
        <f t="shared" si="3"/>
        <v>126</v>
      </c>
      <c r="K23" s="4">
        <f t="shared" si="3"/>
        <v>137</v>
      </c>
      <c r="L23" s="4">
        <f t="shared" si="3"/>
        <v>121</v>
      </c>
      <c r="M23" s="4">
        <f t="shared" si="3"/>
        <v>123</v>
      </c>
      <c r="N23" s="4">
        <f t="shared" si="3"/>
        <v>94</v>
      </c>
      <c r="O23" s="4">
        <f t="shared" si="3"/>
        <v>103</v>
      </c>
    </row>
    <row r="25" spans="2:15" x14ac:dyDescent="0.25">
      <c r="B25" s="140">
        <v>2017</v>
      </c>
      <c r="C25" s="141"/>
      <c r="D25" s="90" t="s">
        <v>2</v>
      </c>
      <c r="E25" s="90" t="s">
        <v>3</v>
      </c>
      <c r="F25" s="90" t="s">
        <v>4</v>
      </c>
      <c r="G25" s="90" t="s">
        <v>5</v>
      </c>
      <c r="H25" s="90" t="s">
        <v>6</v>
      </c>
      <c r="I25" s="90" t="s">
        <v>189</v>
      </c>
      <c r="J25" s="90" t="s">
        <v>188</v>
      </c>
      <c r="K25" s="90" t="s">
        <v>9</v>
      </c>
      <c r="L25" s="90" t="s">
        <v>10</v>
      </c>
      <c r="M25" s="90" t="s">
        <v>11</v>
      </c>
      <c r="N25" s="90" t="s">
        <v>12</v>
      </c>
      <c r="O25" s="90" t="s">
        <v>13</v>
      </c>
    </row>
    <row r="26" spans="2:15" x14ac:dyDescent="0.25">
      <c r="B26" s="138" t="s">
        <v>200</v>
      </c>
      <c r="C26" s="139"/>
      <c r="D26" s="4">
        <f>65+1</f>
        <v>66</v>
      </c>
      <c r="E26" s="4">
        <f>70+2</f>
        <v>72</v>
      </c>
      <c r="F26" s="4">
        <f>76+1+2</f>
        <v>79</v>
      </c>
      <c r="G26" s="4">
        <f>56+1</f>
        <v>57</v>
      </c>
      <c r="H26" s="4">
        <f>76+1</f>
        <v>77</v>
      </c>
      <c r="I26" s="4">
        <f>88+1</f>
        <v>89</v>
      </c>
      <c r="J26" s="4">
        <f>71+2+1+1</f>
        <v>75</v>
      </c>
      <c r="K26" s="4">
        <v>65</v>
      </c>
      <c r="L26" s="4">
        <f>62+1+1</f>
        <v>64</v>
      </c>
      <c r="M26" s="4">
        <f>75+1</f>
        <v>76</v>
      </c>
      <c r="N26" s="4">
        <v>56</v>
      </c>
      <c r="O26" s="4">
        <f>56+1+1</f>
        <v>58</v>
      </c>
    </row>
    <row r="27" spans="2:15" x14ac:dyDescent="0.25">
      <c r="B27" s="138" t="s">
        <v>199</v>
      </c>
      <c r="C27" s="139"/>
      <c r="D27" s="4">
        <f>3+1+1</f>
        <v>5</v>
      </c>
      <c r="E27" s="4">
        <f>10+1+2</f>
        <v>13</v>
      </c>
      <c r="F27" s="4">
        <f>7+2</f>
        <v>9</v>
      </c>
      <c r="G27" s="4">
        <f>3+1</f>
        <v>4</v>
      </c>
      <c r="H27" s="4">
        <f>9+3</f>
        <v>12</v>
      </c>
      <c r="I27" s="4">
        <f>4+4</f>
        <v>8</v>
      </c>
      <c r="J27" s="4">
        <f>8+2</f>
        <v>10</v>
      </c>
      <c r="K27" s="4">
        <f>3+2</f>
        <v>5</v>
      </c>
      <c r="L27" s="4">
        <f>5+1</f>
        <v>6</v>
      </c>
      <c r="M27" s="4">
        <f>2+2</f>
        <v>4</v>
      </c>
      <c r="N27" s="4">
        <f>5+2</f>
        <v>7</v>
      </c>
      <c r="O27" s="4">
        <f>3+1</f>
        <v>4</v>
      </c>
    </row>
    <row r="28" spans="2:15" x14ac:dyDescent="0.25">
      <c r="B28" s="138" t="s">
        <v>198</v>
      </c>
      <c r="C28" s="139"/>
      <c r="D28" s="4">
        <v>41</v>
      </c>
      <c r="E28" s="4">
        <v>50</v>
      </c>
      <c r="F28" s="4">
        <v>50</v>
      </c>
      <c r="G28" s="4">
        <v>36</v>
      </c>
      <c r="H28" s="4">
        <v>48</v>
      </c>
      <c r="I28" s="4">
        <v>44</v>
      </c>
      <c r="J28" s="4">
        <v>52</v>
      </c>
      <c r="K28" s="4">
        <v>81</v>
      </c>
      <c r="L28" s="4">
        <v>33</v>
      </c>
      <c r="M28" s="4">
        <v>53</v>
      </c>
      <c r="N28" s="4">
        <v>34</v>
      </c>
      <c r="O28" s="4">
        <v>50</v>
      </c>
    </row>
    <row r="29" spans="2:15" x14ac:dyDescent="0.25">
      <c r="B29" s="138" t="s">
        <v>190</v>
      </c>
      <c r="C29" s="139"/>
      <c r="D29" s="4">
        <f t="shared" ref="D29:O29" si="4">SUM(D26:D28)</f>
        <v>112</v>
      </c>
      <c r="E29" s="4">
        <f t="shared" si="4"/>
        <v>135</v>
      </c>
      <c r="F29" s="4">
        <f t="shared" si="4"/>
        <v>138</v>
      </c>
      <c r="G29" s="4">
        <f t="shared" si="4"/>
        <v>97</v>
      </c>
      <c r="H29" s="4">
        <f t="shared" si="4"/>
        <v>137</v>
      </c>
      <c r="I29" s="4">
        <f t="shared" si="4"/>
        <v>141</v>
      </c>
      <c r="J29" s="4">
        <f t="shared" si="4"/>
        <v>137</v>
      </c>
      <c r="K29" s="4">
        <f t="shared" si="4"/>
        <v>151</v>
      </c>
      <c r="L29" s="4">
        <f t="shared" si="4"/>
        <v>103</v>
      </c>
      <c r="M29" s="4">
        <f t="shared" si="4"/>
        <v>133</v>
      </c>
      <c r="N29" s="4">
        <f t="shared" si="4"/>
        <v>97</v>
      </c>
      <c r="O29" s="4">
        <f t="shared" si="4"/>
        <v>112</v>
      </c>
    </row>
    <row r="30" spans="2:15" x14ac:dyDescent="0.25">
      <c r="B30" s="81"/>
      <c r="C30" s="8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2:15" x14ac:dyDescent="0.25">
      <c r="B31" s="142">
        <v>2018</v>
      </c>
      <c r="C31" s="143"/>
      <c r="D31" s="69" t="s">
        <v>2</v>
      </c>
      <c r="E31" s="69" t="s">
        <v>3</v>
      </c>
      <c r="F31" s="69" t="s">
        <v>4</v>
      </c>
      <c r="G31" s="69" t="s">
        <v>5</v>
      </c>
      <c r="H31" s="69" t="s">
        <v>6</v>
      </c>
      <c r="I31" s="69" t="s">
        <v>189</v>
      </c>
      <c r="J31" s="69" t="s">
        <v>188</v>
      </c>
      <c r="K31" s="69" t="s">
        <v>9</v>
      </c>
      <c r="L31" s="69" t="s">
        <v>10</v>
      </c>
      <c r="M31" s="69" t="s">
        <v>11</v>
      </c>
      <c r="N31" s="69" t="s">
        <v>12</v>
      </c>
      <c r="O31" s="69" t="s">
        <v>13</v>
      </c>
    </row>
    <row r="32" spans="2:15" x14ac:dyDescent="0.25">
      <c r="B32" s="81" t="s">
        <v>197</v>
      </c>
      <c r="C32" s="4"/>
      <c r="D32" s="4">
        <v>8</v>
      </c>
      <c r="E32" s="4">
        <v>8</v>
      </c>
      <c r="F32" s="4">
        <f>VLOOKUP(B32,[3]Endo!$B$35:$E$40,2,0)</f>
        <v>10</v>
      </c>
      <c r="G32" s="4">
        <v>7</v>
      </c>
      <c r="H32" s="4">
        <v>10</v>
      </c>
      <c r="I32" s="4">
        <v>20</v>
      </c>
      <c r="J32" s="4">
        <v>9</v>
      </c>
      <c r="K32" s="4">
        <v>2</v>
      </c>
      <c r="L32" s="4">
        <v>4</v>
      </c>
      <c r="M32" s="4">
        <v>2</v>
      </c>
      <c r="N32" s="4">
        <v>6</v>
      </c>
      <c r="O32" s="4">
        <v>7</v>
      </c>
    </row>
    <row r="33" spans="2:15" x14ac:dyDescent="0.25">
      <c r="B33" s="81" t="s">
        <v>196</v>
      </c>
      <c r="C33" s="4"/>
      <c r="D33" s="4">
        <v>61</v>
      </c>
      <c r="E33" s="4">
        <v>64</v>
      </c>
      <c r="F33" s="4">
        <f>VLOOKUP(B33,[3]Endo!$B$35:$E$40,2,0)</f>
        <v>57</v>
      </c>
      <c r="G33" s="4">
        <v>47</v>
      </c>
      <c r="H33" s="4">
        <v>64</v>
      </c>
      <c r="I33" s="4">
        <v>90</v>
      </c>
      <c r="J33" s="4">
        <v>91</v>
      </c>
      <c r="K33" s="4">
        <v>141</v>
      </c>
      <c r="L33" s="4">
        <v>105</v>
      </c>
      <c r="M33" s="4">
        <v>87</v>
      </c>
      <c r="N33" s="4">
        <v>109</v>
      </c>
      <c r="O33" s="4">
        <v>109</v>
      </c>
    </row>
    <row r="34" spans="2:15" x14ac:dyDescent="0.25">
      <c r="B34" s="81" t="s">
        <v>195</v>
      </c>
      <c r="C34" s="4"/>
      <c r="D34" s="4">
        <v>75</v>
      </c>
      <c r="E34" s="4">
        <v>68</v>
      </c>
      <c r="F34" s="4">
        <f>VLOOKUP(B34,[3]Endo!$B$35:$E$40,2,0)</f>
        <v>76</v>
      </c>
      <c r="G34" s="4">
        <v>67</v>
      </c>
      <c r="H34" s="4">
        <v>63</v>
      </c>
      <c r="I34" s="4">
        <v>57</v>
      </c>
      <c r="J34" s="4">
        <v>68</v>
      </c>
      <c r="K34" s="4">
        <v>75</v>
      </c>
      <c r="L34" s="4">
        <v>85</v>
      </c>
      <c r="M34" s="4">
        <v>82</v>
      </c>
      <c r="N34" s="4">
        <v>88</v>
      </c>
      <c r="O34" s="4">
        <v>82</v>
      </c>
    </row>
    <row r="35" spans="2:15" x14ac:dyDescent="0.25">
      <c r="B35" s="81" t="s">
        <v>194</v>
      </c>
      <c r="C35" s="4"/>
      <c r="D35" s="4">
        <v>1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2:15" x14ac:dyDescent="0.25">
      <c r="B36" s="81" t="s">
        <v>193</v>
      </c>
      <c r="C36" s="4"/>
      <c r="D36" s="4"/>
      <c r="E36" s="30"/>
      <c r="F36" s="4">
        <f>VLOOKUP(B36,[3]Endo!$B$35:$E$40,2,0)</f>
        <v>1</v>
      </c>
      <c r="G36" s="4"/>
      <c r="H36" s="4"/>
      <c r="I36" s="4"/>
      <c r="J36" s="4"/>
      <c r="K36" s="4"/>
      <c r="L36" s="4"/>
      <c r="M36" s="4"/>
      <c r="N36" s="4"/>
      <c r="O36" s="4"/>
    </row>
    <row r="37" spans="2:15" x14ac:dyDescent="0.25">
      <c r="B37" s="81" t="s">
        <v>192</v>
      </c>
      <c r="C37" s="4"/>
      <c r="D37" s="4"/>
      <c r="F37" s="4">
        <f>VLOOKUP(B37,[3]Endo!$B$35:$E$40,2,0)</f>
        <v>1</v>
      </c>
      <c r="G37" s="4"/>
      <c r="H37" s="4"/>
      <c r="I37" s="4"/>
      <c r="J37" s="4"/>
      <c r="K37" s="4"/>
      <c r="L37" s="4"/>
      <c r="M37" s="4"/>
      <c r="N37" s="4"/>
      <c r="O37" s="4"/>
    </row>
    <row r="38" spans="2:15" x14ac:dyDescent="0.25">
      <c r="B38" s="81" t="s">
        <v>191</v>
      </c>
      <c r="C38" s="4"/>
      <c r="D38" s="4">
        <v>5</v>
      </c>
      <c r="E38" s="4">
        <v>1</v>
      </c>
      <c r="F38" s="4">
        <f>VLOOKUP(B38,[3]Endo!$B$35:$E$40,2,0)</f>
        <v>1</v>
      </c>
      <c r="G38" s="4"/>
      <c r="H38" s="4"/>
      <c r="I38" s="4"/>
      <c r="J38" s="4"/>
      <c r="K38" s="4"/>
      <c r="L38" s="4"/>
      <c r="M38" s="4"/>
      <c r="N38" s="4"/>
      <c r="O38" s="4"/>
    </row>
    <row r="39" spans="2:15" x14ac:dyDescent="0.25">
      <c r="B39" s="138" t="s">
        <v>190</v>
      </c>
      <c r="C39" s="139"/>
      <c r="D39" s="4">
        <f t="shared" ref="D39:O39" si="5">SUM(D32:D38)</f>
        <v>150</v>
      </c>
      <c r="E39" s="4">
        <f t="shared" si="5"/>
        <v>141</v>
      </c>
      <c r="F39" s="4">
        <f t="shared" si="5"/>
        <v>146</v>
      </c>
      <c r="G39" s="4">
        <f t="shared" si="5"/>
        <v>121</v>
      </c>
      <c r="H39" s="4">
        <f t="shared" si="5"/>
        <v>137</v>
      </c>
      <c r="I39" s="4">
        <f t="shared" si="5"/>
        <v>167</v>
      </c>
      <c r="J39" s="4">
        <f t="shared" si="5"/>
        <v>168</v>
      </c>
      <c r="K39" s="4">
        <f t="shared" si="5"/>
        <v>218</v>
      </c>
      <c r="L39" s="4">
        <f t="shared" si="5"/>
        <v>194</v>
      </c>
      <c r="M39" s="4">
        <f t="shared" si="5"/>
        <v>171</v>
      </c>
      <c r="N39" s="4">
        <f t="shared" si="5"/>
        <v>203</v>
      </c>
      <c r="O39" s="4">
        <f t="shared" si="5"/>
        <v>198</v>
      </c>
    </row>
    <row r="40" spans="2:15" x14ac:dyDescent="0.25">
      <c r="B40" s="50"/>
      <c r="C40" s="5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5" x14ac:dyDescent="0.25">
      <c r="B41" s="142" t="s">
        <v>206</v>
      </c>
      <c r="C41" s="143"/>
      <c r="D41" s="69" t="s">
        <v>2</v>
      </c>
      <c r="E41" s="69" t="s">
        <v>3</v>
      </c>
      <c r="F41" s="69" t="s">
        <v>4</v>
      </c>
      <c r="G41" s="69" t="s">
        <v>5</v>
      </c>
      <c r="H41" s="69" t="s">
        <v>6</v>
      </c>
      <c r="I41" s="69" t="s">
        <v>189</v>
      </c>
      <c r="J41" s="69" t="s">
        <v>188</v>
      </c>
      <c r="K41" s="69" t="s">
        <v>9</v>
      </c>
      <c r="L41" s="69" t="s">
        <v>10</v>
      </c>
      <c r="M41" s="69" t="s">
        <v>11</v>
      </c>
      <c r="N41" s="69" t="s">
        <v>12</v>
      </c>
      <c r="O41" s="69" t="s">
        <v>13</v>
      </c>
    </row>
    <row r="42" spans="2:15" x14ac:dyDescent="0.25">
      <c r="B42" s="80" t="s">
        <v>197</v>
      </c>
      <c r="C42" s="4"/>
      <c r="D42" s="4">
        <v>8</v>
      </c>
      <c r="E42" s="4">
        <v>2</v>
      </c>
      <c r="F42" s="4">
        <v>3</v>
      </c>
      <c r="G42" s="4">
        <v>6</v>
      </c>
      <c r="H42" s="4">
        <v>9</v>
      </c>
      <c r="I42" s="4">
        <v>5</v>
      </c>
      <c r="J42" s="4">
        <v>5</v>
      </c>
      <c r="K42" s="4">
        <v>11</v>
      </c>
      <c r="L42" s="4">
        <v>6</v>
      </c>
      <c r="M42" s="4">
        <v>9</v>
      </c>
      <c r="N42" s="4">
        <v>5</v>
      </c>
      <c r="O42" s="4">
        <v>2</v>
      </c>
    </row>
    <row r="43" spans="2:15" x14ac:dyDescent="0.25">
      <c r="B43" s="80" t="s">
        <v>196</v>
      </c>
      <c r="C43" s="4"/>
      <c r="D43" s="4">
        <v>91</v>
      </c>
      <c r="E43" s="4">
        <v>80</v>
      </c>
      <c r="F43" s="4">
        <v>83</v>
      </c>
      <c r="G43" s="4">
        <v>55</v>
      </c>
      <c r="H43" s="4">
        <v>102</v>
      </c>
      <c r="I43" s="4">
        <v>91</v>
      </c>
      <c r="J43" s="4">
        <v>137</v>
      </c>
      <c r="K43" s="4">
        <v>125</v>
      </c>
      <c r="L43" s="4">
        <v>111</v>
      </c>
      <c r="M43" s="4">
        <v>123</v>
      </c>
      <c r="N43" s="4">
        <v>69</v>
      </c>
      <c r="O43" s="4">
        <v>100</v>
      </c>
    </row>
    <row r="44" spans="2:15" x14ac:dyDescent="0.25">
      <c r="B44" s="80" t="s">
        <v>195</v>
      </c>
      <c r="C44" s="4"/>
      <c r="D44" s="4">
        <v>80</v>
      </c>
      <c r="E44" s="4">
        <v>95</v>
      </c>
      <c r="F44" s="4">
        <v>108</v>
      </c>
      <c r="G44" s="4">
        <v>69</v>
      </c>
      <c r="H44" s="4">
        <v>97</v>
      </c>
      <c r="I44" s="4">
        <v>102</v>
      </c>
      <c r="J44" s="4">
        <v>118</v>
      </c>
      <c r="K44" s="4">
        <v>107</v>
      </c>
      <c r="L44" s="4">
        <v>97</v>
      </c>
      <c r="M44" s="4">
        <v>111</v>
      </c>
      <c r="N44" s="4">
        <v>67</v>
      </c>
      <c r="O44" s="4">
        <v>89</v>
      </c>
    </row>
    <row r="45" spans="2:15" x14ac:dyDescent="0.25">
      <c r="B45" s="80" t="s">
        <v>194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2:15" x14ac:dyDescent="0.25">
      <c r="B46" s="80" t="s">
        <v>193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2:15" x14ac:dyDescent="0.25">
      <c r="B47" s="80" t="s">
        <v>192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2:15" x14ac:dyDescent="0.25">
      <c r="B48" s="80" t="s">
        <v>191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 x14ac:dyDescent="0.25">
      <c r="B49" s="137" t="s">
        <v>190</v>
      </c>
      <c r="C49" s="137"/>
      <c r="D49" s="4">
        <f>SUM(D42:D48)</f>
        <v>179</v>
      </c>
      <c r="E49" s="4">
        <v>177</v>
      </c>
      <c r="F49" s="4">
        <f>SUM(F42:F44)</f>
        <v>194</v>
      </c>
      <c r="G49" s="4">
        <f>SUM(G42:G44)</f>
        <v>130</v>
      </c>
      <c r="H49" s="4">
        <f>SUM(H42:H44)</f>
        <v>208</v>
      </c>
      <c r="I49" s="4">
        <f t="shared" ref="I49:N49" si="6">SUM(I42:I48)</f>
        <v>198</v>
      </c>
      <c r="J49" s="4">
        <f t="shared" si="6"/>
        <v>260</v>
      </c>
      <c r="K49" s="4">
        <f t="shared" si="6"/>
        <v>243</v>
      </c>
      <c r="L49" s="4">
        <f t="shared" si="6"/>
        <v>214</v>
      </c>
      <c r="M49" s="4">
        <f t="shared" si="6"/>
        <v>243</v>
      </c>
      <c r="N49" s="4">
        <f t="shared" si="6"/>
        <v>141</v>
      </c>
      <c r="O49" s="4">
        <f>SUM(O42:O48)</f>
        <v>191</v>
      </c>
    </row>
    <row r="50" spans="2:15" x14ac:dyDescent="0.25">
      <c r="B50" s="50"/>
      <c r="C50" s="5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</row>
    <row r="51" spans="2:15" x14ac:dyDescent="0.25">
      <c r="B51" s="69" t="s">
        <v>209</v>
      </c>
      <c r="C51" s="69"/>
      <c r="D51" s="69" t="s">
        <v>2</v>
      </c>
      <c r="E51" s="69" t="s">
        <v>3</v>
      </c>
      <c r="F51" s="69" t="s">
        <v>4</v>
      </c>
      <c r="G51" s="69" t="s">
        <v>5</v>
      </c>
      <c r="H51" s="69" t="s">
        <v>6</v>
      </c>
      <c r="I51" s="69" t="s">
        <v>189</v>
      </c>
      <c r="J51" s="69" t="s">
        <v>188</v>
      </c>
      <c r="K51" s="69" t="s">
        <v>9</v>
      </c>
      <c r="L51" s="69" t="s">
        <v>10</v>
      </c>
      <c r="M51" s="69" t="s">
        <v>11</v>
      </c>
      <c r="N51" s="69" t="s">
        <v>12</v>
      </c>
      <c r="O51" s="69" t="s">
        <v>13</v>
      </c>
    </row>
    <row r="52" spans="2:15" x14ac:dyDescent="0.25">
      <c r="B52" s="80" t="s">
        <v>197</v>
      </c>
      <c r="C52" s="4"/>
      <c r="D52" s="4">
        <v>3</v>
      </c>
      <c r="E52" s="4">
        <v>5</v>
      </c>
      <c r="F52" s="4">
        <v>1</v>
      </c>
      <c r="G52" s="4">
        <v>2</v>
      </c>
      <c r="H52" s="4">
        <v>3</v>
      </c>
      <c r="I52" s="4">
        <v>3</v>
      </c>
      <c r="J52" s="4">
        <v>6</v>
      </c>
      <c r="K52" s="4">
        <v>4</v>
      </c>
      <c r="L52" s="4">
        <v>10</v>
      </c>
      <c r="M52" s="4">
        <v>11</v>
      </c>
      <c r="N52" s="4">
        <v>25</v>
      </c>
      <c r="O52" s="4">
        <v>15</v>
      </c>
    </row>
    <row r="53" spans="2:15" x14ac:dyDescent="0.25">
      <c r="B53" s="80" t="s">
        <v>196</v>
      </c>
      <c r="C53" s="4"/>
      <c r="D53" s="4">
        <v>88</v>
      </c>
      <c r="E53" s="4">
        <v>79</v>
      </c>
      <c r="F53" s="4">
        <v>45</v>
      </c>
      <c r="G53" s="4">
        <v>37</v>
      </c>
      <c r="H53" s="4">
        <v>52</v>
      </c>
      <c r="I53" s="4">
        <v>83</v>
      </c>
      <c r="J53" s="4">
        <v>79</v>
      </c>
      <c r="K53" s="4">
        <v>67</v>
      </c>
      <c r="L53" s="4">
        <v>57</v>
      </c>
      <c r="M53" s="4">
        <v>80</v>
      </c>
      <c r="N53" s="4">
        <v>118</v>
      </c>
      <c r="O53" s="4">
        <v>85</v>
      </c>
    </row>
    <row r="54" spans="2:15" x14ac:dyDescent="0.25">
      <c r="B54" s="80" t="s">
        <v>195</v>
      </c>
      <c r="C54" s="4"/>
      <c r="D54" s="4">
        <v>77</v>
      </c>
      <c r="E54" s="4">
        <v>57</v>
      </c>
      <c r="F54" s="4">
        <v>46</v>
      </c>
      <c r="G54" s="4">
        <v>69</v>
      </c>
      <c r="H54" s="4">
        <v>89</v>
      </c>
      <c r="I54" s="4">
        <v>81</v>
      </c>
      <c r="J54" s="4">
        <v>127</v>
      </c>
      <c r="K54" s="4">
        <v>104</v>
      </c>
      <c r="L54" s="4">
        <v>87</v>
      </c>
      <c r="M54" s="4">
        <v>95</v>
      </c>
      <c r="N54" s="4">
        <v>100</v>
      </c>
      <c r="O54" s="4">
        <v>83</v>
      </c>
    </row>
    <row r="55" spans="2:15" x14ac:dyDescent="0.25">
      <c r="B55" s="80" t="s">
        <v>194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25">
      <c r="B56" s="80" t="s">
        <v>193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25">
      <c r="B57" s="80" t="s">
        <v>192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25">
      <c r="B58" s="80" t="s">
        <v>191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25">
      <c r="B59" s="137" t="s">
        <v>190</v>
      </c>
      <c r="C59" s="137"/>
      <c r="D59" s="4">
        <f t="shared" ref="D59:O59" si="7">SUM(D52:D58)</f>
        <v>168</v>
      </c>
      <c r="E59" s="4">
        <f t="shared" si="7"/>
        <v>141</v>
      </c>
      <c r="F59" s="4">
        <f t="shared" si="7"/>
        <v>92</v>
      </c>
      <c r="G59" s="4">
        <f t="shared" si="7"/>
        <v>108</v>
      </c>
      <c r="H59" s="4">
        <f t="shared" si="7"/>
        <v>144</v>
      </c>
      <c r="I59" s="4">
        <f t="shared" si="7"/>
        <v>167</v>
      </c>
      <c r="J59" s="4">
        <f t="shared" si="7"/>
        <v>212</v>
      </c>
      <c r="K59" s="4">
        <f t="shared" si="7"/>
        <v>175</v>
      </c>
      <c r="L59" s="4">
        <f t="shared" si="7"/>
        <v>154</v>
      </c>
      <c r="M59" s="4">
        <f t="shared" si="7"/>
        <v>186</v>
      </c>
      <c r="N59" s="4">
        <f t="shared" si="7"/>
        <v>243</v>
      </c>
      <c r="O59" s="4">
        <f t="shared" si="7"/>
        <v>183</v>
      </c>
    </row>
    <row r="60" spans="2:15" x14ac:dyDescent="0.25">
      <c r="B60" s="50"/>
      <c r="C60" s="5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</row>
    <row r="61" spans="2:15" x14ac:dyDescent="0.25">
      <c r="B61" s="142" t="s">
        <v>218</v>
      </c>
      <c r="C61" s="143"/>
      <c r="D61" s="70" t="s">
        <v>2</v>
      </c>
      <c r="E61" s="70" t="s">
        <v>3</v>
      </c>
      <c r="F61" s="70" t="s">
        <v>4</v>
      </c>
      <c r="G61" s="70" t="s">
        <v>5</v>
      </c>
      <c r="H61" s="70" t="s">
        <v>6</v>
      </c>
      <c r="I61" s="70" t="s">
        <v>189</v>
      </c>
      <c r="J61" s="70" t="s">
        <v>188</v>
      </c>
      <c r="K61" s="70" t="s">
        <v>9</v>
      </c>
      <c r="L61" s="70" t="s">
        <v>10</v>
      </c>
      <c r="M61" s="70" t="s">
        <v>11</v>
      </c>
      <c r="N61" s="70" t="s">
        <v>12</v>
      </c>
      <c r="O61" s="70" t="s">
        <v>13</v>
      </c>
    </row>
    <row r="62" spans="2:15" x14ac:dyDescent="0.25">
      <c r="B62" s="138" t="s">
        <v>212</v>
      </c>
      <c r="C62" s="139"/>
      <c r="D62" s="79">
        <v>0</v>
      </c>
      <c r="E62" s="4">
        <v>0</v>
      </c>
      <c r="F62" s="4">
        <v>27</v>
      </c>
      <c r="G62" s="4">
        <v>43</v>
      </c>
      <c r="H62" s="4">
        <v>54</v>
      </c>
      <c r="I62" s="4">
        <v>59</v>
      </c>
      <c r="J62" s="4">
        <v>62</v>
      </c>
      <c r="K62" s="4">
        <v>63</v>
      </c>
      <c r="L62" s="4">
        <v>56</v>
      </c>
      <c r="M62" s="4">
        <v>63</v>
      </c>
      <c r="N62" s="4">
        <v>49</v>
      </c>
      <c r="O62" s="4">
        <v>39</v>
      </c>
    </row>
    <row r="63" spans="2:15" x14ac:dyDescent="0.25">
      <c r="B63" s="80" t="s">
        <v>213</v>
      </c>
      <c r="C63" s="80"/>
      <c r="D63" s="4">
        <v>24</v>
      </c>
      <c r="E63" s="4">
        <v>30</v>
      </c>
      <c r="F63" s="4">
        <v>25</v>
      </c>
      <c r="G63" s="4">
        <v>2</v>
      </c>
      <c r="H63" s="4">
        <v>30</v>
      </c>
      <c r="I63" s="4">
        <v>20</v>
      </c>
      <c r="J63" s="4">
        <v>34</v>
      </c>
      <c r="K63" s="4">
        <v>30</v>
      </c>
      <c r="L63" s="4">
        <v>26</v>
      </c>
      <c r="M63" s="4">
        <v>29</v>
      </c>
      <c r="N63" s="4">
        <v>46</v>
      </c>
      <c r="O63" s="4">
        <v>26</v>
      </c>
    </row>
    <row r="64" spans="2:15" x14ac:dyDescent="0.25">
      <c r="B64" s="50"/>
      <c r="C64" s="5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2:15" x14ac:dyDescent="0.25">
      <c r="B65" s="142" t="s">
        <v>217</v>
      </c>
      <c r="C65" s="143"/>
      <c r="D65" s="70" t="s">
        <v>2</v>
      </c>
      <c r="E65" s="70" t="s">
        <v>3</v>
      </c>
      <c r="F65" s="70" t="s">
        <v>4</v>
      </c>
      <c r="G65" s="70" t="s">
        <v>5</v>
      </c>
      <c r="H65" s="70" t="s">
        <v>6</v>
      </c>
      <c r="I65" s="70" t="s">
        <v>189</v>
      </c>
      <c r="J65" s="70" t="s">
        <v>188</v>
      </c>
      <c r="K65" s="70" t="s">
        <v>9</v>
      </c>
      <c r="L65" s="70" t="s">
        <v>10</v>
      </c>
      <c r="M65" s="70" t="s">
        <v>11</v>
      </c>
      <c r="N65" s="70" t="s">
        <v>12</v>
      </c>
      <c r="O65" s="70" t="s">
        <v>13</v>
      </c>
    </row>
    <row r="66" spans="2:15" x14ac:dyDescent="0.25">
      <c r="B66" s="80" t="s">
        <v>212</v>
      </c>
      <c r="C66" s="80"/>
      <c r="D66" s="4">
        <v>0</v>
      </c>
      <c r="E66" s="4">
        <v>46</v>
      </c>
      <c r="F66" s="4">
        <v>60</v>
      </c>
      <c r="G66" s="4">
        <v>51</v>
      </c>
      <c r="H66" s="4">
        <v>49</v>
      </c>
      <c r="I66" s="4">
        <v>95</v>
      </c>
      <c r="J66" s="4">
        <v>77</v>
      </c>
      <c r="K66" s="4">
        <v>82</v>
      </c>
      <c r="L66" s="4">
        <v>60</v>
      </c>
      <c r="M66" s="4">
        <v>73</v>
      </c>
      <c r="N66" s="4">
        <v>54</v>
      </c>
      <c r="O66" s="4">
        <v>67</v>
      </c>
    </row>
    <row r="67" spans="2:15" x14ac:dyDescent="0.25">
      <c r="B67" s="80" t="s">
        <v>213</v>
      </c>
      <c r="C67" s="80"/>
      <c r="D67" s="4">
        <v>46</v>
      </c>
      <c r="E67" s="4">
        <v>56</v>
      </c>
      <c r="F67" s="4">
        <v>58</v>
      </c>
      <c r="G67" s="4">
        <v>32</v>
      </c>
      <c r="H67" s="4">
        <v>42</v>
      </c>
      <c r="I67" s="4">
        <v>42</v>
      </c>
      <c r="J67" s="4">
        <v>66</v>
      </c>
      <c r="K67" s="4">
        <v>55</v>
      </c>
      <c r="L67" s="4">
        <v>50</v>
      </c>
      <c r="M67" s="4">
        <v>41</v>
      </c>
      <c r="N67" s="4">
        <v>65</v>
      </c>
      <c r="O67" s="4">
        <v>63</v>
      </c>
    </row>
    <row r="68" spans="2:15" x14ac:dyDescent="0.25">
      <c r="B68" s="80" t="s">
        <v>215</v>
      </c>
      <c r="C68" s="80"/>
      <c r="D68" s="4">
        <v>1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</row>
    <row r="69" spans="2:15" x14ac:dyDescent="0.25">
      <c r="B69" s="50"/>
      <c r="C69" s="5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</row>
    <row r="70" spans="2:15" x14ac:dyDescent="0.25">
      <c r="B70" s="135" t="s">
        <v>219</v>
      </c>
      <c r="C70" s="136"/>
      <c r="D70" s="43" t="s">
        <v>2</v>
      </c>
      <c r="E70" s="43" t="s">
        <v>3</v>
      </c>
      <c r="F70" s="43" t="s">
        <v>4</v>
      </c>
      <c r="G70" s="43" t="s">
        <v>5</v>
      </c>
      <c r="H70" s="43" t="s">
        <v>6</v>
      </c>
      <c r="I70" s="43" t="s">
        <v>189</v>
      </c>
      <c r="J70" s="43" t="s">
        <v>188</v>
      </c>
      <c r="K70" s="43" t="s">
        <v>9</v>
      </c>
      <c r="L70" s="43" t="s">
        <v>10</v>
      </c>
      <c r="M70" s="43" t="s">
        <v>11</v>
      </c>
      <c r="N70" s="43" t="s">
        <v>12</v>
      </c>
      <c r="O70" s="43" t="s">
        <v>13</v>
      </c>
    </row>
    <row r="71" spans="2:15" x14ac:dyDescent="0.25">
      <c r="B71" s="102" t="s">
        <v>197</v>
      </c>
      <c r="C71" s="4"/>
      <c r="D71" s="4">
        <v>22</v>
      </c>
      <c r="E71" s="4">
        <v>23</v>
      </c>
      <c r="F71" s="4">
        <v>10</v>
      </c>
      <c r="G71" s="4">
        <v>1</v>
      </c>
      <c r="H71" s="4">
        <v>4</v>
      </c>
      <c r="I71" s="4"/>
      <c r="J71" s="4">
        <v>8</v>
      </c>
      <c r="K71" s="4">
        <v>12</v>
      </c>
      <c r="L71" s="4">
        <v>9</v>
      </c>
      <c r="M71" s="4">
        <v>9</v>
      </c>
      <c r="N71" s="4">
        <v>1</v>
      </c>
      <c r="O71" s="4">
        <v>14</v>
      </c>
    </row>
    <row r="72" spans="2:15" x14ac:dyDescent="0.25">
      <c r="B72" s="102" t="s">
        <v>196</v>
      </c>
      <c r="C72" s="4"/>
      <c r="D72" s="4">
        <v>120</v>
      </c>
      <c r="E72" s="4">
        <v>104</v>
      </c>
      <c r="F72" s="4">
        <v>68</v>
      </c>
      <c r="G72" s="4">
        <v>35</v>
      </c>
      <c r="H72" s="4">
        <v>31</v>
      </c>
      <c r="I72" s="4">
        <v>53</v>
      </c>
      <c r="J72" s="4">
        <v>35</v>
      </c>
      <c r="K72" s="4">
        <v>48</v>
      </c>
      <c r="L72" s="4">
        <v>45</v>
      </c>
      <c r="M72" s="4">
        <v>38</v>
      </c>
      <c r="N72" s="4">
        <v>70</v>
      </c>
      <c r="O72" s="4">
        <v>73</v>
      </c>
    </row>
    <row r="73" spans="2:15" x14ac:dyDescent="0.25">
      <c r="B73" s="102" t="s">
        <v>195</v>
      </c>
      <c r="C73" s="4"/>
      <c r="D73" s="4">
        <v>89</v>
      </c>
      <c r="E73" s="4">
        <v>105</v>
      </c>
      <c r="F73" s="4">
        <v>51</v>
      </c>
      <c r="G73" s="4">
        <v>17</v>
      </c>
      <c r="H73" s="4">
        <v>17</v>
      </c>
      <c r="I73" s="4">
        <v>37</v>
      </c>
      <c r="J73" s="4">
        <v>20</v>
      </c>
      <c r="K73" s="4">
        <v>37</v>
      </c>
      <c r="L73" s="4">
        <v>28</v>
      </c>
      <c r="M73" s="4">
        <v>33</v>
      </c>
      <c r="N73" s="4">
        <v>48</v>
      </c>
      <c r="O73" s="4">
        <v>48</v>
      </c>
    </row>
    <row r="74" spans="2:15" x14ac:dyDescent="0.25">
      <c r="B74" s="102" t="s">
        <v>194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2:15" x14ac:dyDescent="0.25">
      <c r="B75" s="102" t="s">
        <v>193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2:15" x14ac:dyDescent="0.25">
      <c r="B76" s="102" t="s">
        <v>192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2:15" x14ac:dyDescent="0.25">
      <c r="B77" s="102" t="s">
        <v>191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2:15" x14ac:dyDescent="0.25">
      <c r="B78" s="137" t="s">
        <v>190</v>
      </c>
      <c r="C78" s="137"/>
      <c r="D78" s="4">
        <f t="shared" ref="D78:N78" si="8">SUM(D71:D77)</f>
        <v>231</v>
      </c>
      <c r="E78" s="4">
        <f t="shared" si="8"/>
        <v>232</v>
      </c>
      <c r="F78" s="4">
        <f t="shared" si="8"/>
        <v>129</v>
      </c>
      <c r="G78" s="4">
        <f t="shared" si="8"/>
        <v>53</v>
      </c>
      <c r="H78" s="4">
        <f t="shared" si="8"/>
        <v>52</v>
      </c>
      <c r="I78" s="4">
        <f t="shared" si="8"/>
        <v>90</v>
      </c>
      <c r="J78" s="4">
        <f t="shared" si="8"/>
        <v>63</v>
      </c>
      <c r="K78" s="4">
        <f t="shared" si="8"/>
        <v>97</v>
      </c>
      <c r="L78" s="4">
        <f t="shared" si="8"/>
        <v>82</v>
      </c>
      <c r="M78" s="4">
        <f t="shared" si="8"/>
        <v>80</v>
      </c>
      <c r="N78" s="4">
        <f t="shared" si="8"/>
        <v>119</v>
      </c>
      <c r="O78" s="4">
        <f>SUM(O71:O77)</f>
        <v>135</v>
      </c>
    </row>
    <row r="79" spans="2:15" x14ac:dyDescent="0.25">
      <c r="B79" s="50"/>
      <c r="C79" s="5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</row>
    <row r="80" spans="2:15" x14ac:dyDescent="0.25">
      <c r="B80" s="135" t="s">
        <v>214</v>
      </c>
      <c r="C80" s="136"/>
      <c r="D80" s="60" t="s">
        <v>2</v>
      </c>
      <c r="E80" s="60" t="s">
        <v>3</v>
      </c>
      <c r="F80" s="60" t="s">
        <v>4</v>
      </c>
      <c r="G80" s="60" t="s">
        <v>5</v>
      </c>
      <c r="H80" s="60" t="s">
        <v>6</v>
      </c>
      <c r="I80" s="60" t="s">
        <v>189</v>
      </c>
      <c r="J80" s="60" t="s">
        <v>188</v>
      </c>
      <c r="K80" s="60" t="s">
        <v>9</v>
      </c>
      <c r="L80" s="60" t="s">
        <v>10</v>
      </c>
      <c r="M80" s="60" t="s">
        <v>11</v>
      </c>
      <c r="N80" s="60" t="s">
        <v>12</v>
      </c>
      <c r="O80" s="60" t="s">
        <v>13</v>
      </c>
    </row>
    <row r="81" spans="2:15" x14ac:dyDescent="0.25">
      <c r="B81" s="102" t="s">
        <v>196</v>
      </c>
      <c r="C81" s="102"/>
      <c r="D81" s="4">
        <v>31</v>
      </c>
      <c r="E81" s="4">
        <v>27</v>
      </c>
      <c r="F81" s="4">
        <v>15</v>
      </c>
      <c r="G81" s="4">
        <v>0</v>
      </c>
      <c r="H81" s="4">
        <v>8</v>
      </c>
      <c r="I81" s="4">
        <v>17</v>
      </c>
      <c r="J81" s="4">
        <v>16</v>
      </c>
      <c r="K81" s="4">
        <v>19</v>
      </c>
      <c r="L81" s="4">
        <v>11</v>
      </c>
      <c r="M81" s="4">
        <v>15</v>
      </c>
      <c r="N81" s="4">
        <v>24</v>
      </c>
      <c r="O81" s="4">
        <v>21</v>
      </c>
    </row>
    <row r="82" spans="2:15" x14ac:dyDescent="0.25">
      <c r="B82" s="50"/>
      <c r="C82" s="5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</row>
    <row r="83" spans="2:15" x14ac:dyDescent="0.25">
      <c r="B83" s="135" t="s">
        <v>216</v>
      </c>
      <c r="C83" s="136"/>
      <c r="D83" s="60" t="s">
        <v>2</v>
      </c>
      <c r="E83" s="60" t="s">
        <v>3</v>
      </c>
      <c r="F83" s="60" t="s">
        <v>4</v>
      </c>
      <c r="G83" s="60" t="s">
        <v>5</v>
      </c>
      <c r="H83" s="60" t="s">
        <v>6</v>
      </c>
      <c r="I83" s="60" t="s">
        <v>189</v>
      </c>
      <c r="J83" s="60" t="s">
        <v>188</v>
      </c>
      <c r="K83" s="60" t="s">
        <v>9</v>
      </c>
      <c r="L83" s="60" t="s">
        <v>10</v>
      </c>
      <c r="M83" s="60" t="s">
        <v>11</v>
      </c>
      <c r="N83" s="60" t="s">
        <v>12</v>
      </c>
      <c r="O83" s="60" t="s">
        <v>13</v>
      </c>
    </row>
    <row r="84" spans="2:15" x14ac:dyDescent="0.25">
      <c r="B84" s="102" t="s">
        <v>196</v>
      </c>
      <c r="C84" s="102"/>
      <c r="D84" s="4">
        <v>53</v>
      </c>
      <c r="E84" s="4">
        <v>36</v>
      </c>
      <c r="F84" s="4">
        <v>14</v>
      </c>
      <c r="G84" s="4">
        <v>7</v>
      </c>
      <c r="H84" s="4">
        <v>34</v>
      </c>
      <c r="I84" s="4">
        <v>21</v>
      </c>
      <c r="J84" s="4">
        <v>22</v>
      </c>
      <c r="K84" s="4">
        <v>21</v>
      </c>
      <c r="L84" s="4">
        <v>28</v>
      </c>
      <c r="M84" s="4">
        <v>23</v>
      </c>
      <c r="N84" s="4">
        <v>50</v>
      </c>
      <c r="O84" s="4">
        <v>55</v>
      </c>
    </row>
    <row r="85" spans="2:15" x14ac:dyDescent="0.25">
      <c r="B85" s="102" t="s">
        <v>195</v>
      </c>
      <c r="C85" s="102"/>
      <c r="D85" s="4">
        <v>1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7" spans="2:15" x14ac:dyDescent="0.25">
      <c r="B87" s="91"/>
      <c r="C87" s="92"/>
      <c r="D87" s="90" t="s">
        <v>2</v>
      </c>
      <c r="E87" s="90" t="s">
        <v>3</v>
      </c>
      <c r="F87" s="90" t="s">
        <v>4</v>
      </c>
      <c r="G87" s="90" t="s">
        <v>5</v>
      </c>
      <c r="H87" s="90" t="s">
        <v>6</v>
      </c>
      <c r="I87" s="90" t="s">
        <v>189</v>
      </c>
      <c r="J87" s="90" t="s">
        <v>188</v>
      </c>
      <c r="K87" s="90" t="s">
        <v>9</v>
      </c>
      <c r="L87" s="90" t="s">
        <v>10</v>
      </c>
      <c r="M87" s="90" t="s">
        <v>11</v>
      </c>
      <c r="N87" s="90" t="s">
        <v>12</v>
      </c>
      <c r="O87" s="90" t="s">
        <v>13</v>
      </c>
    </row>
    <row r="88" spans="2:15" x14ac:dyDescent="0.25">
      <c r="B88" s="41">
        <v>2013</v>
      </c>
      <c r="C88" s="40"/>
      <c r="D88" s="4">
        <f t="shared" ref="D88:O88" si="9">D5</f>
        <v>39</v>
      </c>
      <c r="E88" s="4">
        <f t="shared" si="9"/>
        <v>27</v>
      </c>
      <c r="F88" s="4">
        <f t="shared" si="9"/>
        <v>52</v>
      </c>
      <c r="G88" s="4">
        <f t="shared" si="9"/>
        <v>23</v>
      </c>
      <c r="H88" s="4">
        <f t="shared" si="9"/>
        <v>33</v>
      </c>
      <c r="I88" s="4">
        <f t="shared" si="9"/>
        <v>35</v>
      </c>
      <c r="J88" s="4">
        <f t="shared" si="9"/>
        <v>53</v>
      </c>
      <c r="K88" s="4">
        <f t="shared" si="9"/>
        <v>45</v>
      </c>
      <c r="L88" s="4">
        <f t="shared" si="9"/>
        <v>54</v>
      </c>
      <c r="M88" s="4">
        <f t="shared" si="9"/>
        <v>53</v>
      </c>
      <c r="N88" s="4">
        <f t="shared" si="9"/>
        <v>62</v>
      </c>
      <c r="O88" s="4">
        <f t="shared" si="9"/>
        <v>59</v>
      </c>
    </row>
    <row r="89" spans="2:15" x14ac:dyDescent="0.25">
      <c r="B89" s="41">
        <v>2014</v>
      </c>
      <c r="C89" s="40"/>
      <c r="D89" s="4">
        <f t="shared" ref="D89:O89" si="10">D11</f>
        <v>46</v>
      </c>
      <c r="E89" s="4">
        <f t="shared" si="10"/>
        <v>65</v>
      </c>
      <c r="F89" s="4">
        <f t="shared" si="10"/>
        <v>47</v>
      </c>
      <c r="G89" s="4">
        <f t="shared" si="10"/>
        <v>68</v>
      </c>
      <c r="H89" s="4">
        <f t="shared" si="10"/>
        <v>66</v>
      </c>
      <c r="I89" s="4">
        <f t="shared" si="10"/>
        <v>80</v>
      </c>
      <c r="J89" s="4">
        <f t="shared" si="10"/>
        <v>79</v>
      </c>
      <c r="K89" s="4">
        <f t="shared" si="10"/>
        <v>107</v>
      </c>
      <c r="L89" s="4">
        <f t="shared" si="10"/>
        <v>73</v>
      </c>
      <c r="M89" s="4">
        <f t="shared" si="10"/>
        <v>87</v>
      </c>
      <c r="N89" s="4">
        <f t="shared" si="10"/>
        <v>74</v>
      </c>
      <c r="O89" s="4">
        <f t="shared" si="10"/>
        <v>90</v>
      </c>
    </row>
    <row r="90" spans="2:15" x14ac:dyDescent="0.25">
      <c r="B90" s="41">
        <v>2015</v>
      </c>
      <c r="C90" s="40"/>
      <c r="D90" s="4">
        <f t="shared" ref="D90:O90" si="11">D17</f>
        <v>101</v>
      </c>
      <c r="E90" s="4">
        <f t="shared" si="11"/>
        <v>98</v>
      </c>
      <c r="F90" s="4">
        <f t="shared" si="11"/>
        <v>98</v>
      </c>
      <c r="G90" s="4">
        <f t="shared" si="11"/>
        <v>74</v>
      </c>
      <c r="H90" s="4">
        <f t="shared" si="11"/>
        <v>77</v>
      </c>
      <c r="I90" s="4">
        <f t="shared" si="11"/>
        <v>64</v>
      </c>
      <c r="J90" s="4">
        <f t="shared" si="11"/>
        <v>82</v>
      </c>
      <c r="K90" s="4">
        <f t="shared" si="11"/>
        <v>135</v>
      </c>
      <c r="L90" s="4">
        <f t="shared" si="11"/>
        <v>155</v>
      </c>
      <c r="M90" s="4">
        <f t="shared" si="11"/>
        <v>114</v>
      </c>
      <c r="N90" s="4">
        <f t="shared" si="11"/>
        <v>94</v>
      </c>
      <c r="O90" s="4">
        <f t="shared" si="11"/>
        <v>141</v>
      </c>
    </row>
    <row r="91" spans="2:15" x14ac:dyDescent="0.25">
      <c r="B91" s="41">
        <v>2016</v>
      </c>
      <c r="C91" s="40"/>
      <c r="D91" s="4">
        <f t="shared" ref="D91:O91" si="12">D23</f>
        <v>111</v>
      </c>
      <c r="E91" s="4">
        <f t="shared" si="12"/>
        <v>118</v>
      </c>
      <c r="F91" s="4">
        <f t="shared" si="12"/>
        <v>141</v>
      </c>
      <c r="G91" s="4">
        <f t="shared" si="12"/>
        <v>103</v>
      </c>
      <c r="H91" s="4">
        <f t="shared" si="12"/>
        <v>115</v>
      </c>
      <c r="I91" s="4">
        <f t="shared" si="12"/>
        <v>113</v>
      </c>
      <c r="J91" s="4">
        <f t="shared" si="12"/>
        <v>126</v>
      </c>
      <c r="K91" s="4">
        <f t="shared" si="12"/>
        <v>137</v>
      </c>
      <c r="L91" s="4">
        <f t="shared" si="12"/>
        <v>121</v>
      </c>
      <c r="M91" s="4">
        <f t="shared" si="12"/>
        <v>123</v>
      </c>
      <c r="N91" s="4">
        <f t="shared" si="12"/>
        <v>94</v>
      </c>
      <c r="O91" s="4">
        <f t="shared" si="12"/>
        <v>103</v>
      </c>
    </row>
    <row r="92" spans="2:15" x14ac:dyDescent="0.25">
      <c r="B92" s="41">
        <v>2017</v>
      </c>
      <c r="C92" s="40"/>
      <c r="D92" s="4">
        <f t="shared" ref="D92:O92" si="13">D29</f>
        <v>112</v>
      </c>
      <c r="E92" s="4">
        <f t="shared" si="13"/>
        <v>135</v>
      </c>
      <c r="F92" s="4">
        <f t="shared" si="13"/>
        <v>138</v>
      </c>
      <c r="G92" s="4">
        <f t="shared" si="13"/>
        <v>97</v>
      </c>
      <c r="H92" s="4">
        <f t="shared" si="13"/>
        <v>137</v>
      </c>
      <c r="I92" s="4">
        <f t="shared" si="13"/>
        <v>141</v>
      </c>
      <c r="J92" s="4">
        <f t="shared" si="13"/>
        <v>137</v>
      </c>
      <c r="K92" s="4">
        <f t="shared" si="13"/>
        <v>151</v>
      </c>
      <c r="L92" s="4">
        <f t="shared" si="13"/>
        <v>103</v>
      </c>
      <c r="M92" s="4">
        <f t="shared" si="13"/>
        <v>133</v>
      </c>
      <c r="N92" s="4">
        <f t="shared" si="13"/>
        <v>97</v>
      </c>
      <c r="O92" s="4">
        <f t="shared" si="13"/>
        <v>112</v>
      </c>
    </row>
    <row r="93" spans="2:15" x14ac:dyDescent="0.25">
      <c r="B93" s="41">
        <v>2018</v>
      </c>
      <c r="C93" s="40"/>
      <c r="D93" s="4">
        <f t="shared" ref="D93:O93" si="14">D39</f>
        <v>150</v>
      </c>
      <c r="E93" s="4">
        <f t="shared" si="14"/>
        <v>141</v>
      </c>
      <c r="F93" s="4">
        <f t="shared" si="14"/>
        <v>146</v>
      </c>
      <c r="G93" s="39">
        <f t="shared" si="14"/>
        <v>121</v>
      </c>
      <c r="H93" s="38">
        <f t="shared" si="14"/>
        <v>137</v>
      </c>
      <c r="I93" s="38">
        <f t="shared" si="14"/>
        <v>167</v>
      </c>
      <c r="J93" s="38">
        <f t="shared" si="14"/>
        <v>168</v>
      </c>
      <c r="K93" s="38">
        <f t="shared" si="14"/>
        <v>218</v>
      </c>
      <c r="L93" s="38">
        <f t="shared" si="14"/>
        <v>194</v>
      </c>
      <c r="M93" s="38">
        <f t="shared" si="14"/>
        <v>171</v>
      </c>
      <c r="N93" s="38">
        <f t="shared" si="14"/>
        <v>203</v>
      </c>
      <c r="O93" s="38">
        <f t="shared" si="14"/>
        <v>198</v>
      </c>
    </row>
    <row r="94" spans="2:15" x14ac:dyDescent="0.25">
      <c r="B94" s="4" t="s">
        <v>187</v>
      </c>
      <c r="C94" s="4"/>
      <c r="D94" s="37">
        <f t="shared" ref="D94:O94" si="15">D92*1.05</f>
        <v>117.60000000000001</v>
      </c>
      <c r="E94" s="37">
        <f t="shared" si="15"/>
        <v>141.75</v>
      </c>
      <c r="F94" s="37">
        <f t="shared" si="15"/>
        <v>144.9</v>
      </c>
      <c r="G94" s="37">
        <f t="shared" si="15"/>
        <v>101.85000000000001</v>
      </c>
      <c r="H94" s="37">
        <f t="shared" si="15"/>
        <v>143.85</v>
      </c>
      <c r="I94" s="37">
        <f t="shared" si="15"/>
        <v>148.05000000000001</v>
      </c>
      <c r="J94" s="37">
        <f t="shared" si="15"/>
        <v>143.85</v>
      </c>
      <c r="K94" s="37">
        <f t="shared" si="15"/>
        <v>158.55000000000001</v>
      </c>
      <c r="L94" s="37">
        <f t="shared" si="15"/>
        <v>108.15</v>
      </c>
      <c r="M94" s="37">
        <f t="shared" si="15"/>
        <v>139.65</v>
      </c>
      <c r="N94" s="37">
        <f t="shared" si="15"/>
        <v>101.85000000000001</v>
      </c>
      <c r="O94" s="37">
        <f t="shared" si="15"/>
        <v>117.60000000000001</v>
      </c>
    </row>
  </sheetData>
  <mergeCells count="37">
    <mergeCell ref="B27:C27"/>
    <mergeCell ref="B83:C83"/>
    <mergeCell ref="B61:C61"/>
    <mergeCell ref="B62:C62"/>
    <mergeCell ref="B65:C65"/>
    <mergeCell ref="B41:C41"/>
    <mergeCell ref="B49:C49"/>
    <mergeCell ref="B70:C70"/>
    <mergeCell ref="B78:C78"/>
    <mergeCell ref="B80:C80"/>
    <mergeCell ref="B59:C59"/>
    <mergeCell ref="B29:C29"/>
    <mergeCell ref="B31:C31"/>
    <mergeCell ref="B39:C39"/>
    <mergeCell ref="B28:C28"/>
    <mergeCell ref="B21:C21"/>
    <mergeCell ref="B22:C22"/>
    <mergeCell ref="B23:C23"/>
    <mergeCell ref="B25:C25"/>
    <mergeCell ref="B26:C26"/>
    <mergeCell ref="B15:C15"/>
    <mergeCell ref="B16:C16"/>
    <mergeCell ref="B17:C17"/>
    <mergeCell ref="B19:C19"/>
    <mergeCell ref="B20:C20"/>
    <mergeCell ref="B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  <mergeCell ref="B13:C1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MCC</vt:lpstr>
      <vt:lpstr>CHFC</vt:lpstr>
      <vt:lpstr>MPC</vt:lpstr>
      <vt:lpstr>Endoscopy</vt:lpstr>
      <vt:lpstr>EndoscopyHistory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Sophea Heak</dc:creator>
  <cp:lastModifiedBy>Monyroat Sat</cp:lastModifiedBy>
  <dcterms:created xsi:type="dcterms:W3CDTF">2018-08-03T02:42:00Z</dcterms:created>
  <dcterms:modified xsi:type="dcterms:W3CDTF">2023-01-04T09:16:53Z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d86ae9ca-e395-4357-8390-a67fc8bf8b3b</vt:lpwstr>
  </property>
</Properties>
</file>